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ЭтаКнига"/>
  <xr:revisionPtr revIDLastSave="0" documentId="13_ncr:1_{CBDBB870-EC1C-4F64-922E-443784046974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Отчет" sheetId="1" r:id="rId1"/>
    <sheet name="=) Finalytics.pro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P3" i="1"/>
  <c r="L65" i="1"/>
  <c r="L60" i="1"/>
  <c r="J60" i="1"/>
  <c r="K60" i="1"/>
  <c r="J65" i="1"/>
  <c r="K65" i="1"/>
  <c r="I61" i="1"/>
  <c r="I62" i="1"/>
  <c r="I63" i="1"/>
  <c r="I64" i="1"/>
  <c r="E60" i="1"/>
  <c r="G12" i="1" l="1"/>
  <c r="I13" i="1" l="1"/>
  <c r="J13" i="1"/>
  <c r="F11" i="1"/>
  <c r="G11" i="1"/>
  <c r="F12" i="1"/>
  <c r="I10" i="1"/>
  <c r="J10" i="1"/>
  <c r="I11" i="1" l="1"/>
  <c r="O60" i="1"/>
  <c r="J11" i="1"/>
  <c r="P60" i="1" s="1"/>
  <c r="U60" i="1" s="1"/>
  <c r="M57" i="1"/>
  <c r="L57" i="1"/>
  <c r="N57" i="1"/>
  <c r="O57" i="1"/>
  <c r="O56" i="1"/>
  <c r="M56" i="1"/>
  <c r="L56" i="1"/>
  <c r="N56" i="1"/>
  <c r="N55" i="1"/>
  <c r="M55" i="1"/>
  <c r="L55" i="1"/>
  <c r="O55" i="1"/>
  <c r="M54" i="1"/>
  <c r="L54" i="1"/>
  <c r="N54" i="1"/>
  <c r="O54" i="1"/>
  <c r="L53" i="1"/>
  <c r="M53" i="1"/>
  <c r="N53" i="1"/>
  <c r="O53" i="1"/>
  <c r="O52" i="1"/>
  <c r="N52" i="1"/>
  <c r="L52" i="1"/>
  <c r="M52" i="1"/>
  <c r="P54" i="1" l="1"/>
  <c r="P57" i="1"/>
  <c r="P53" i="1"/>
  <c r="P52" i="1"/>
  <c r="P55" i="1"/>
  <c r="P56" i="1"/>
  <c r="G27" i="1"/>
  <c r="N13" i="1"/>
  <c r="O13" i="1" s="1"/>
  <c r="P13" i="1" s="1"/>
  <c r="N10" i="1"/>
  <c r="O10" i="1" s="1"/>
  <c r="P10" i="1" s="1"/>
  <c r="K57" i="1" l="1"/>
  <c r="I65" i="1"/>
  <c r="K52" i="1"/>
  <c r="I53" i="1" s="1"/>
  <c r="I60" i="1"/>
  <c r="J61" i="1" s="1"/>
  <c r="T56" i="1"/>
  <c r="T57" i="1"/>
  <c r="T53" i="1"/>
  <c r="T54" i="1"/>
  <c r="T55" i="1"/>
  <c r="K61" i="1" l="1"/>
  <c r="J62" i="1" s="1"/>
  <c r="K62" i="1" s="1"/>
  <c r="J63" i="1" s="1"/>
  <c r="K63" i="1" s="1"/>
  <c r="J64" i="1" s="1"/>
  <c r="K64" i="1" s="1"/>
  <c r="J54" i="1"/>
  <c r="K54" i="1"/>
  <c r="K53" i="1"/>
  <c r="J53" i="1"/>
  <c r="J56" i="1"/>
  <c r="K56" i="1"/>
  <c r="J55" i="1"/>
  <c r="K55" i="1"/>
  <c r="U57" i="1"/>
  <c r="E65" i="1" s="1"/>
  <c r="U55" i="1"/>
  <c r="E63" i="1" s="1"/>
  <c r="U53" i="1"/>
  <c r="E61" i="1" s="1"/>
  <c r="U56" i="1"/>
  <c r="E64" i="1" s="1"/>
  <c r="U54" i="1"/>
  <c r="E62" i="1" s="1"/>
  <c r="I54" i="1" l="1"/>
  <c r="I55" i="1" s="1"/>
  <c r="I56" i="1" s="1"/>
  <c r="J12" i="1" l="1"/>
  <c r="I12" i="1"/>
  <c r="G29" i="1" l="1"/>
  <c r="O65" i="1"/>
  <c r="O63" i="1" s="1"/>
  <c r="G28" i="1"/>
  <c r="J14" i="1"/>
  <c r="I14" i="1"/>
  <c r="N11" i="1"/>
  <c r="O11" i="1" s="1"/>
  <c r="P11" i="1" s="1"/>
  <c r="N12" i="1"/>
  <c r="O12" i="1" s="1"/>
  <c r="P12" i="1" s="1"/>
  <c r="O62" i="1" l="1"/>
  <c r="O61" i="1" s="1"/>
  <c r="N14" i="1"/>
  <c r="O14" i="1" s="1"/>
  <c r="P14" i="1" s="1"/>
  <c r="P65" i="1"/>
  <c r="P62" i="1"/>
</calcChain>
</file>

<file path=xl/sharedStrings.xml><?xml version="1.0" encoding="utf-8"?>
<sst xmlns="http://schemas.openxmlformats.org/spreadsheetml/2006/main" count="66" uniqueCount="53">
  <si>
    <t>Сравнение статей бюджета</t>
  </si>
  <si>
    <t>план</t>
  </si>
  <si>
    <t>факт</t>
  </si>
  <si>
    <t>выручка</t>
  </si>
  <si>
    <t>переменные расходы</t>
  </si>
  <si>
    <t>на единицу</t>
  </si>
  <si>
    <t>постоянные расходы</t>
  </si>
  <si>
    <t>прибыль</t>
  </si>
  <si>
    <t>на объем</t>
  </si>
  <si>
    <t>отклонения</t>
  </si>
  <si>
    <t>+ / –</t>
  </si>
  <si>
    <t>%%</t>
  </si>
  <si>
    <t>оценка</t>
  </si>
  <si>
    <t>плановая прибыль</t>
  </si>
  <si>
    <t>фактическая прибыль</t>
  </si>
  <si>
    <t>цена</t>
  </si>
  <si>
    <t>объем</t>
  </si>
  <si>
    <t>avc</t>
  </si>
  <si>
    <t>fc</t>
  </si>
  <si>
    <t>План-факт анализ Бюджета доходов и расходов (БДР)</t>
  </si>
  <si>
    <t>объем (штук)</t>
  </si>
  <si>
    <t>переменные расходы на единицу</t>
  </si>
  <si>
    <t>постоянные расходы, общая сумма</t>
  </si>
  <si>
    <t>Вводить данные здесь!</t>
  </si>
  <si>
    <t>перем расх</t>
  </si>
  <si>
    <t>пост расх</t>
  </si>
  <si>
    <t>-</t>
  </si>
  <si>
    <t>+</t>
  </si>
  <si>
    <t>Точка безубыточности</t>
  </si>
  <si>
    <t>фон1</t>
  </si>
  <si>
    <t>база</t>
  </si>
  <si>
    <t xml:space="preserve"> </t>
  </si>
  <si>
    <t>факторы, влияющие на прибыль (% от плана)</t>
  </si>
  <si>
    <t>х 1000 ₽</t>
  </si>
  <si>
    <t>точка безубыт</t>
  </si>
  <si>
    <t>нейтраль</t>
  </si>
  <si>
    <t>план продаж</t>
  </si>
  <si>
    <t>пусто</t>
  </si>
  <si>
    <t>максимум</t>
  </si>
  <si>
    <t>стрелка</t>
  </si>
  <si>
    <t>пусто 2</t>
  </si>
  <si>
    <t>безубыточная выручка</t>
  </si>
  <si>
    <t>запас прочности</t>
  </si>
  <si>
    <t>Название отчета</t>
  </si>
  <si>
    <t>Размерность</t>
  </si>
  <si>
    <t>Факторный анализ выполнения плана по прибыли</t>
  </si>
  <si>
    <r>
      <t xml:space="preserve">Вспомогательные расчетные таблицы </t>
    </r>
    <r>
      <rPr>
        <sz val="9"/>
        <color rgb="FFFF0000"/>
        <rFont val="Calibri"/>
        <family val="2"/>
        <charset val="204"/>
        <scheme val="minor"/>
      </rPr>
      <t>(здесь ничего не менять)</t>
    </r>
  </si>
  <si>
    <t>Мы на связи:</t>
  </si>
  <si>
    <t>Блог Finalytics.pro</t>
  </si>
  <si>
    <t>Наш YouTube-канал</t>
  </si>
  <si>
    <t>Финансовый анализ в Power BI и Excel | Вконтакте</t>
  </si>
  <si>
    <t>Telegram-канал</t>
  </si>
  <si>
    <t>Email-рассылка о Power BI и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</si>
</sst>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__;\-#,##0__;\-__"/>
    <numFmt numFmtId="165" formatCode="#,##0.0__;\-#,##0.0__;\-__"/>
    <numFmt numFmtId="166" formatCode="\+#,##0__;\-#,##0__;\-__"/>
    <numFmt numFmtId="167" formatCode="0%__"/>
    <numFmt numFmtId="168" formatCode="\+#,##0;\-#,##0;0"/>
    <numFmt numFmtId="169" formatCode="\↑0%;\↓0%"/>
    <numFmt numFmtId="170" formatCode="#,##0;\-#,##0;"/>
    <numFmt numFmtId="171" formatCode="\-#,##0;\-#,##0;"/>
    <numFmt numFmtId="172" formatCode="#,##0.0"/>
    <numFmt numFmtId="173" formatCode="#,##0_ ;\-#,##0\ 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4" tint="-0.249977111117893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 tint="0.34998626667073579"/>
      <name val="Calibri"/>
      <family val="2"/>
      <charset val="204"/>
      <scheme val="minor"/>
    </font>
    <font>
      <sz val="11"/>
      <color theme="1" tint="0.249977111117893"/>
      <name val="Calibri"/>
      <family val="2"/>
      <charset val="204"/>
      <scheme val="minor"/>
    </font>
    <font>
      <sz val="11"/>
      <color theme="3" tint="-0.249977111117893"/>
      <name val="Calibri"/>
      <family val="2"/>
      <charset val="204"/>
      <scheme val="minor"/>
    </font>
    <font>
      <sz val="11"/>
      <color theme="3" tint="-0.499984740745262"/>
      <name val="Calibri"/>
      <family val="2"/>
      <charset val="204"/>
      <scheme val="minor"/>
    </font>
    <font>
      <b/>
      <sz val="10"/>
      <color theme="3" tint="-0.49998474074526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color theme="1" tint="0.34998626667073579"/>
      <name val="Calibri"/>
      <family val="2"/>
      <charset val="204"/>
      <scheme val="minor"/>
    </font>
    <font>
      <b/>
      <sz val="10"/>
      <color theme="1" tint="0.249977111117893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 tint="0.249977111117893"/>
      <name val="Calibri"/>
      <family val="2"/>
      <charset val="204"/>
      <scheme val="minor"/>
    </font>
    <font>
      <b/>
      <sz val="8"/>
      <color theme="1" tint="0.249977111117893"/>
      <name val="Calibri"/>
      <family val="2"/>
      <charset val="204"/>
      <scheme val="minor"/>
    </font>
    <font>
      <b/>
      <sz val="10"/>
      <color theme="1" tint="0.14999847407452621"/>
      <name val="Calibri"/>
      <family val="2"/>
      <charset val="204"/>
      <scheme val="minor"/>
    </font>
    <font>
      <sz val="11"/>
      <color theme="1" tint="0.14999847407452621"/>
      <name val="Calibri"/>
      <family val="2"/>
      <charset val="204"/>
      <scheme val="minor"/>
    </font>
    <font>
      <sz val="9"/>
      <color theme="1" tint="0.249977111117893"/>
      <name val="Calibri"/>
      <family val="2"/>
      <charset val="204"/>
      <scheme val="minor"/>
    </font>
    <font>
      <sz val="14"/>
      <color theme="1" tint="0.249977111117893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rgb="FF00B05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24"/>
      <color theme="1" tint="0.34998626667073579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u/>
      <sz val="11"/>
      <color theme="1" tint="0.34998626667073579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F9F7"/>
        <bgColor indexed="64"/>
      </patternFill>
    </fill>
    <fill>
      <patternFill patternType="solid">
        <fgColor rgb="FFF3F1ED"/>
        <bgColor indexed="64"/>
      </patternFill>
    </fill>
    <fill>
      <patternFill patternType="solid">
        <fgColor rgb="FFEBE7E1"/>
        <bgColor indexed="64"/>
      </patternFill>
    </fill>
    <fill>
      <patternFill patternType="solid">
        <fgColor rgb="FFF5F3E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9C9C7"/>
      </left>
      <right/>
      <top style="thin">
        <color rgb="FFC9C9C7"/>
      </top>
      <bottom/>
      <diagonal/>
    </border>
    <border>
      <left/>
      <right/>
      <top style="thin">
        <color rgb="FFC9C9C7"/>
      </top>
      <bottom/>
      <diagonal/>
    </border>
    <border>
      <left/>
      <right style="thin">
        <color rgb="FFC9C9C7"/>
      </right>
      <top style="thin">
        <color rgb="FFC9C9C7"/>
      </top>
      <bottom/>
      <diagonal/>
    </border>
    <border>
      <left style="thin">
        <color rgb="FFC9C9C7"/>
      </left>
      <right/>
      <top/>
      <bottom/>
      <diagonal/>
    </border>
    <border>
      <left/>
      <right style="thin">
        <color rgb="FFC9C9C7"/>
      </right>
      <top/>
      <bottom/>
      <diagonal/>
    </border>
    <border>
      <left style="thin">
        <color rgb="FFC9C9C7"/>
      </left>
      <right/>
      <top/>
      <bottom style="thin">
        <color rgb="FFC9C9C7"/>
      </bottom>
      <diagonal/>
    </border>
    <border>
      <left/>
      <right/>
      <top/>
      <bottom style="thin">
        <color rgb="FFC9C9C7"/>
      </bottom>
      <diagonal/>
    </border>
    <border>
      <left/>
      <right style="thin">
        <color rgb="FFC9C9C7"/>
      </right>
      <top/>
      <bottom style="thin">
        <color rgb="FFC9C9C7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quotePrefix="1"/>
    <xf numFmtId="0" fontId="2" fillId="6" borderId="0" xfId="0" applyFont="1" applyFill="1" applyAlignment="1">
      <alignment horizontal="right"/>
    </xf>
    <xf numFmtId="0" fontId="0" fillId="6" borderId="0" xfId="0" applyFill="1"/>
    <xf numFmtId="168" fontId="2" fillId="6" borderId="0" xfId="0" applyNumberFormat="1" applyFont="1" applyFill="1" applyAlignment="1">
      <alignment horizontal="center"/>
    </xf>
    <xf numFmtId="0" fontId="6" fillId="6" borderId="0" xfId="0" applyFont="1" applyFill="1"/>
    <xf numFmtId="9" fontId="4" fillId="6" borderId="0" xfId="1" applyFont="1" applyFill="1" applyBorder="1" applyAlignment="1">
      <alignment horizontal="center"/>
    </xf>
    <xf numFmtId="0" fontId="3" fillId="6" borderId="0" xfId="0" applyFont="1" applyFill="1"/>
    <xf numFmtId="0" fontId="12" fillId="6" borderId="0" xfId="0" applyFont="1" applyFill="1"/>
    <xf numFmtId="0" fontId="13" fillId="6" borderId="0" xfId="0" applyFont="1" applyFill="1" applyAlignment="1">
      <alignment horizontal="center"/>
    </xf>
    <xf numFmtId="0" fontId="2" fillId="6" borderId="0" xfId="0" applyFont="1" applyFill="1"/>
    <xf numFmtId="0" fontId="5" fillId="6" borderId="0" xfId="0" applyFont="1" applyFill="1"/>
    <xf numFmtId="0" fontId="0" fillId="6" borderId="27" xfId="0" applyFill="1" applyBorder="1"/>
    <xf numFmtId="0" fontId="0" fillId="6" borderId="28" xfId="0" applyFill="1" applyBorder="1"/>
    <xf numFmtId="0" fontId="10" fillId="6" borderId="29" xfId="0" applyFont="1" applyFill="1" applyBorder="1"/>
    <xf numFmtId="0" fontId="11" fillId="6" borderId="30" xfId="2" applyFont="1" applyFill="1" applyBorder="1" applyAlignment="1">
      <alignment vertical="center"/>
    </xf>
    <xf numFmtId="0" fontId="10" fillId="6" borderId="31" xfId="0" applyFont="1" applyFill="1" applyBorder="1"/>
    <xf numFmtId="0" fontId="0" fillId="6" borderId="30" xfId="0" applyFill="1" applyBorder="1"/>
    <xf numFmtId="0" fontId="16" fillId="6" borderId="0" xfId="0" applyFont="1" applyFill="1"/>
    <xf numFmtId="3" fontId="16" fillId="6" borderId="0" xfId="0" applyNumberFormat="1" applyFont="1" applyFill="1"/>
    <xf numFmtId="0" fontId="18" fillId="6" borderId="0" xfId="0" applyFont="1" applyFill="1"/>
    <xf numFmtId="0" fontId="16" fillId="6" borderId="0" xfId="0" applyFont="1" applyFill="1" applyAlignment="1">
      <alignment horizontal="left" indent="4"/>
    </xf>
    <xf numFmtId="164" fontId="20" fillId="7" borderId="1" xfId="0" applyNumberFormat="1" applyFont="1" applyFill="1" applyBorder="1" applyAlignment="1">
      <alignment horizontal="center" vertical="center"/>
    </xf>
    <xf numFmtId="164" fontId="20" fillId="7" borderId="2" xfId="0" applyNumberFormat="1" applyFont="1" applyFill="1" applyBorder="1" applyAlignment="1">
      <alignment horizontal="center" vertical="center"/>
    </xf>
    <xf numFmtId="164" fontId="20" fillId="7" borderId="0" xfId="0" applyNumberFormat="1" applyFont="1" applyFill="1" applyAlignment="1">
      <alignment horizontal="center" vertical="center"/>
    </xf>
    <xf numFmtId="0" fontId="22" fillId="6" borderId="0" xfId="0" applyFont="1" applyFill="1"/>
    <xf numFmtId="0" fontId="21" fillId="6" borderId="0" xfId="0" applyFont="1" applyFill="1" applyAlignment="1">
      <alignment horizontal="center"/>
    </xf>
    <xf numFmtId="0" fontId="23" fillId="7" borderId="1" xfId="0" applyFont="1" applyFill="1" applyBorder="1" applyAlignment="1">
      <alignment horizontal="left" vertical="center" indent="1"/>
    </xf>
    <xf numFmtId="165" fontId="23" fillId="7" borderId="1" xfId="0" applyNumberFormat="1" applyFont="1" applyFill="1" applyBorder="1" applyAlignment="1">
      <alignment vertical="center"/>
    </xf>
    <xf numFmtId="164" fontId="23" fillId="7" borderId="1" xfId="0" applyNumberFormat="1" applyFont="1" applyFill="1" applyBorder="1" applyAlignment="1">
      <alignment vertical="center"/>
    </xf>
    <xf numFmtId="173" fontId="23" fillId="7" borderId="1" xfId="0" applyNumberFormat="1" applyFont="1" applyFill="1" applyBorder="1" applyAlignment="1">
      <alignment vertical="center"/>
    </xf>
    <xf numFmtId="173" fontId="23" fillId="8" borderId="1" xfId="0" applyNumberFormat="1" applyFont="1" applyFill="1" applyBorder="1" applyAlignment="1">
      <alignment vertical="center"/>
    </xf>
    <xf numFmtId="164" fontId="19" fillId="7" borderId="1" xfId="0" applyNumberFormat="1" applyFont="1" applyFill="1" applyBorder="1" applyAlignment="1">
      <alignment vertical="center"/>
    </xf>
    <xf numFmtId="166" fontId="23" fillId="7" borderId="1" xfId="0" applyNumberFormat="1" applyFont="1" applyFill="1" applyBorder="1" applyAlignment="1">
      <alignment vertical="center"/>
    </xf>
    <xf numFmtId="167" fontId="23" fillId="8" borderId="1" xfId="1" applyNumberFormat="1" applyFont="1" applyFill="1" applyBorder="1" applyAlignment="1">
      <alignment vertical="center"/>
    </xf>
    <xf numFmtId="0" fontId="23" fillId="7" borderId="2" xfId="0" applyFont="1" applyFill="1" applyBorder="1" applyAlignment="1">
      <alignment horizontal="left" vertical="center" indent="1"/>
    </xf>
    <xf numFmtId="165" fontId="23" fillId="7" borderId="2" xfId="0" applyNumberFormat="1" applyFont="1" applyFill="1" applyBorder="1" applyAlignment="1">
      <alignment vertical="center"/>
    </xf>
    <xf numFmtId="164" fontId="23" fillId="7" borderId="2" xfId="0" applyNumberFormat="1" applyFont="1" applyFill="1" applyBorder="1" applyAlignment="1">
      <alignment vertical="center"/>
    </xf>
    <xf numFmtId="164" fontId="19" fillId="7" borderId="2" xfId="0" applyNumberFormat="1" applyFont="1" applyFill="1" applyBorder="1" applyAlignment="1">
      <alignment vertical="center"/>
    </xf>
    <xf numFmtId="166" fontId="23" fillId="7" borderId="2" xfId="0" applyNumberFormat="1" applyFont="1" applyFill="1" applyBorder="1" applyAlignment="1">
      <alignment vertical="center"/>
    </xf>
    <xf numFmtId="0" fontId="19" fillId="7" borderId="3" xfId="0" applyFont="1" applyFill="1" applyBorder="1" applyAlignment="1">
      <alignment horizontal="left" vertical="center" indent="1"/>
    </xf>
    <xf numFmtId="165" fontId="19" fillId="7" borderId="3" xfId="0" applyNumberFormat="1" applyFont="1" applyFill="1" applyBorder="1" applyAlignment="1">
      <alignment vertical="center"/>
    </xf>
    <xf numFmtId="164" fontId="19" fillId="7" borderId="3" xfId="0" applyNumberFormat="1" applyFont="1" applyFill="1" applyBorder="1" applyAlignment="1">
      <alignment vertical="center"/>
    </xf>
    <xf numFmtId="173" fontId="19" fillId="7" borderId="0" xfId="0" applyNumberFormat="1" applyFont="1" applyFill="1" applyAlignment="1">
      <alignment vertical="center"/>
    </xf>
    <xf numFmtId="173" fontId="19" fillId="8" borderId="0" xfId="0" applyNumberFormat="1" applyFont="1" applyFill="1" applyAlignment="1">
      <alignment vertical="center"/>
    </xf>
    <xf numFmtId="166" fontId="19" fillId="7" borderId="3" xfId="0" applyNumberFormat="1" applyFont="1" applyFill="1" applyBorder="1" applyAlignment="1">
      <alignment vertical="center"/>
    </xf>
    <xf numFmtId="167" fontId="19" fillId="8" borderId="0" xfId="1" applyNumberFormat="1" applyFont="1" applyFill="1" applyBorder="1" applyAlignment="1">
      <alignment vertical="center"/>
    </xf>
    <xf numFmtId="0" fontId="18" fillId="0" borderId="0" xfId="0" applyFont="1"/>
    <xf numFmtId="0" fontId="18" fillId="0" borderId="13" xfId="0" applyFont="1" applyBorder="1"/>
    <xf numFmtId="0" fontId="18" fillId="0" borderId="14" xfId="0" applyFont="1" applyBorder="1"/>
    <xf numFmtId="0" fontId="18" fillId="0" borderId="15" xfId="0" applyFont="1" applyBorder="1"/>
    <xf numFmtId="3" fontId="18" fillId="0" borderId="18" xfId="0" applyNumberFormat="1" applyFont="1" applyBorder="1"/>
    <xf numFmtId="3" fontId="18" fillId="0" borderId="19" xfId="0" applyNumberFormat="1" applyFont="1" applyBorder="1"/>
    <xf numFmtId="0" fontId="18" fillId="0" borderId="16" xfId="0" applyFont="1" applyBorder="1"/>
    <xf numFmtId="172" fontId="18" fillId="0" borderId="20" xfId="0" applyNumberFormat="1" applyFont="1" applyBorder="1"/>
    <xf numFmtId="172" fontId="18" fillId="0" borderId="21" xfId="0" applyNumberFormat="1" applyFont="1" applyBorder="1"/>
    <xf numFmtId="0" fontId="18" fillId="0" borderId="17" xfId="0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0" fontId="18" fillId="0" borderId="18" xfId="0" applyFont="1" applyBorder="1"/>
    <xf numFmtId="0" fontId="18" fillId="0" borderId="19" xfId="0" applyFont="1" applyBorder="1"/>
    <xf numFmtId="0" fontId="18" fillId="0" borderId="20" xfId="0" applyFont="1" applyBorder="1"/>
    <xf numFmtId="0" fontId="18" fillId="0" borderId="21" xfId="0" applyFont="1" applyBorder="1"/>
    <xf numFmtId="0" fontId="18" fillId="0" borderId="11" xfId="0" applyFont="1" applyBorder="1"/>
    <xf numFmtId="0" fontId="18" fillId="0" borderId="12" xfId="0" applyFont="1" applyBorder="1"/>
    <xf numFmtId="0" fontId="18" fillId="0" borderId="5" xfId="0" applyFont="1" applyBorder="1"/>
    <xf numFmtId="0" fontId="18" fillId="0" borderId="6" xfId="0" applyFont="1" applyBorder="1"/>
    <xf numFmtId="0" fontId="18" fillId="0" borderId="7" xfId="0" applyFont="1" applyBorder="1"/>
    <xf numFmtId="0" fontId="18" fillId="0" borderId="4" xfId="0" applyFont="1" applyBorder="1"/>
    <xf numFmtId="0" fontId="18" fillId="0" borderId="4" xfId="0" applyFont="1" applyBorder="1" applyAlignment="1">
      <alignment horizontal="center"/>
    </xf>
    <xf numFmtId="0" fontId="18" fillId="0" borderId="4" xfId="0" applyFont="1" applyBorder="1" applyAlignment="1">
      <alignment horizontal="right"/>
    </xf>
    <xf numFmtId="3" fontId="18" fillId="2" borderId="0" xfId="0" applyNumberFormat="1" applyFont="1" applyFill="1"/>
    <xf numFmtId="171" fontId="18" fillId="2" borderId="0" xfId="0" applyNumberFormat="1" applyFont="1" applyFill="1"/>
    <xf numFmtId="170" fontId="18" fillId="2" borderId="0" xfId="0" applyNumberFormat="1" applyFont="1" applyFill="1"/>
    <xf numFmtId="164" fontId="18" fillId="0" borderId="0" xfId="0" applyNumberFormat="1" applyFont="1"/>
    <xf numFmtId="165" fontId="18" fillId="0" borderId="0" xfId="0" applyNumberFormat="1" applyFont="1"/>
    <xf numFmtId="169" fontId="18" fillId="0" borderId="0" xfId="1" applyNumberFormat="1" applyFont="1" applyBorder="1"/>
    <xf numFmtId="3" fontId="18" fillId="2" borderId="4" xfId="0" applyNumberFormat="1" applyFont="1" applyFill="1" applyBorder="1"/>
    <xf numFmtId="171" fontId="18" fillId="2" borderId="4" xfId="0" applyNumberFormat="1" applyFont="1" applyFill="1" applyBorder="1"/>
    <xf numFmtId="170" fontId="18" fillId="2" borderId="4" xfId="0" applyNumberFormat="1" applyFont="1" applyFill="1" applyBorder="1"/>
    <xf numFmtId="164" fontId="18" fillId="0" borderId="4" xfId="0" applyNumberFormat="1" applyFont="1" applyBorder="1"/>
    <xf numFmtId="9" fontId="18" fillId="0" borderId="4" xfId="1" applyFont="1" applyBorder="1"/>
    <xf numFmtId="0" fontId="18" fillId="4" borderId="0" xfId="0" applyFont="1" applyFill="1"/>
    <xf numFmtId="3" fontId="18" fillId="0" borderId="0" xfId="0" applyNumberFormat="1" applyFont="1"/>
    <xf numFmtId="0" fontId="18" fillId="0" borderId="0" xfId="0" applyFont="1" applyAlignment="1">
      <alignment horizontal="right"/>
    </xf>
    <xf numFmtId="3" fontId="18" fillId="5" borderId="0" xfId="0" applyNumberFormat="1" applyFont="1" applyFill="1"/>
    <xf numFmtId="173" fontId="18" fillId="5" borderId="0" xfId="0" applyNumberFormat="1" applyFont="1" applyFill="1"/>
    <xf numFmtId="9" fontId="18" fillId="0" borderId="0" xfId="0" applyNumberFormat="1" applyFont="1"/>
    <xf numFmtId="0" fontId="18" fillId="5" borderId="0" xfId="0" applyFont="1" applyFill="1"/>
    <xf numFmtId="3" fontId="18" fillId="0" borderId="4" xfId="0" applyNumberFormat="1" applyFont="1" applyBorder="1"/>
    <xf numFmtId="0" fontId="26" fillId="0" borderId="0" xfId="0" applyFont="1" applyAlignment="1">
      <alignment horizontal="right"/>
    </xf>
    <xf numFmtId="3" fontId="27" fillId="0" borderId="0" xfId="0" applyNumberFormat="1" applyFont="1"/>
    <xf numFmtId="0" fontId="18" fillId="0" borderId="8" xfId="0" applyFont="1" applyBorder="1"/>
    <xf numFmtId="0" fontId="18" fillId="0" borderId="9" xfId="0" applyFont="1" applyBorder="1"/>
    <xf numFmtId="0" fontId="25" fillId="3" borderId="0" xfId="0" applyFont="1" applyFill="1" applyAlignment="1">
      <alignment horizontal="left"/>
    </xf>
    <xf numFmtId="0" fontId="18" fillId="0" borderId="10" xfId="0" applyFont="1" applyBorder="1" applyAlignment="1">
      <alignment horizontal="left" indent="4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left" vertical="top" indent="1"/>
    </xf>
    <xf numFmtId="0" fontId="29" fillId="0" borderId="0" xfId="0" applyFont="1"/>
    <xf numFmtId="0" fontId="29" fillId="0" borderId="0" xfId="0" applyFont="1" applyAlignment="1">
      <alignment horizontal="left" vertical="center"/>
    </xf>
    <xf numFmtId="0" fontId="30" fillId="0" borderId="0" xfId="2" applyFont="1" applyAlignment="1">
      <alignment horizontal="left" vertical="center"/>
    </xf>
    <xf numFmtId="0" fontId="14" fillId="9" borderId="24" xfId="0" applyFont="1" applyFill="1" applyBorder="1"/>
    <xf numFmtId="0" fontId="14" fillId="9" borderId="25" xfId="0" applyFont="1" applyFill="1" applyBorder="1"/>
    <xf numFmtId="0" fontId="24" fillId="9" borderId="25" xfId="0" applyFont="1" applyFill="1" applyBorder="1" applyAlignment="1">
      <alignment horizontal="left" indent="1"/>
    </xf>
    <xf numFmtId="0" fontId="10" fillId="9" borderId="25" xfId="0" applyFont="1" applyFill="1" applyBorder="1"/>
    <xf numFmtId="0" fontId="17" fillId="9" borderId="25" xfId="0" applyFont="1" applyFill="1" applyBorder="1" applyAlignment="1">
      <alignment wrapText="1"/>
    </xf>
    <xf numFmtId="0" fontId="9" fillId="9" borderId="25" xfId="0" quotePrefix="1" applyFont="1" applyFill="1" applyBorder="1" applyAlignment="1">
      <alignment horizontal="right"/>
    </xf>
    <xf numFmtId="0" fontId="15" fillId="9" borderId="25" xfId="0" applyFont="1" applyFill="1" applyBorder="1" applyAlignment="1">
      <alignment horizontal="right"/>
    </xf>
    <xf numFmtId="0" fontId="7" fillId="9" borderId="26" xfId="0" applyFont="1" applyFill="1" applyBorder="1" applyAlignment="1">
      <alignment horizontal="right"/>
    </xf>
    <xf numFmtId="0" fontId="14" fillId="9" borderId="27" xfId="0" applyFont="1" applyFill="1" applyBorder="1"/>
    <xf numFmtId="0" fontId="14" fillId="9" borderId="0" xfId="0" applyFont="1" applyFill="1"/>
    <xf numFmtId="0" fontId="24" fillId="9" borderId="0" xfId="0" applyFont="1" applyFill="1" applyAlignment="1">
      <alignment horizontal="left" indent="1"/>
    </xf>
    <xf numFmtId="0" fontId="10" fillId="9" borderId="0" xfId="0" applyFont="1" applyFill="1"/>
    <xf numFmtId="0" fontId="17" fillId="9" borderId="0" xfId="0" applyFont="1" applyFill="1" applyAlignment="1">
      <alignment wrapText="1"/>
    </xf>
    <xf numFmtId="0" fontId="9" fillId="9" borderId="0" xfId="0" quotePrefix="1" applyFont="1" applyFill="1" applyAlignment="1">
      <alignment horizontal="right"/>
    </xf>
    <xf numFmtId="0" fontId="15" fillId="9" borderId="0" xfId="0" applyFont="1" applyFill="1" applyAlignment="1">
      <alignment horizontal="right"/>
    </xf>
    <xf numFmtId="0" fontId="7" fillId="9" borderId="28" xfId="0" applyFont="1" applyFill="1" applyBorder="1" applyAlignment="1">
      <alignment horizontal="right"/>
    </xf>
    <xf numFmtId="0" fontId="12" fillId="9" borderId="30" xfId="0" applyFont="1" applyFill="1" applyBorder="1" applyAlignment="1">
      <alignment horizontal="left" indent="1"/>
    </xf>
    <xf numFmtId="0" fontId="0" fillId="9" borderId="30" xfId="0" applyFill="1" applyBorder="1"/>
    <xf numFmtId="164" fontId="18" fillId="8" borderId="0" xfId="0" applyNumberFormat="1" applyFont="1" applyFill="1"/>
    <xf numFmtId="164" fontId="18" fillId="8" borderId="4" xfId="0" applyNumberFormat="1" applyFont="1" applyFill="1" applyBorder="1"/>
    <xf numFmtId="165" fontId="18" fillId="8" borderId="0" xfId="0" applyNumberFormat="1" applyFont="1" applyFill="1"/>
    <xf numFmtId="165" fontId="18" fillId="8" borderId="4" xfId="0" applyNumberFormat="1" applyFont="1" applyFill="1" applyBorder="1"/>
    <xf numFmtId="0" fontId="21" fillId="6" borderId="30" xfId="0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0CBCA"/>
      <color rgb="FFE2DCD4"/>
      <color rgb="FFD2C9BC"/>
      <color rgb="FFEBE7E1"/>
      <color rgb="FF6F7CC7"/>
      <color rgb="FFE69C99"/>
      <color rgb="FFFAF9F7"/>
      <color rgb="FFCFD2E3"/>
      <color rgb="FFF5F3EF"/>
      <color rgb="FFBBBB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325232097935905E-2"/>
          <c:y val="0.20294624901780603"/>
          <c:w val="0.8077108210118209"/>
          <c:h val="0.7970537509821938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FD2E3"/>
            </a:solidFill>
            <a:ln>
              <a:noFill/>
            </a:ln>
          </c:spPr>
          <c:invertIfNegative val="0"/>
          <c:val>
            <c:numRef>
              <c:f>Отчет!$I$10:$I$14</c:f>
              <c:numCache>
                <c:formatCode>#\ ##0_ ;\-#\ ##0\ </c:formatCode>
                <c:ptCount val="5"/>
                <c:pt idx="0">
                  <c:v>4120</c:v>
                </c:pt>
                <c:pt idx="1">
                  <c:v>23072</c:v>
                </c:pt>
                <c:pt idx="2">
                  <c:v>12360</c:v>
                </c:pt>
                <c:pt idx="3">
                  <c:v>5000</c:v>
                </c:pt>
                <c:pt idx="4">
                  <c:v>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6-42A9-9C4F-E3A5913FB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-1424661600"/>
        <c:axId val="-1424664320"/>
      </c:barChart>
      <c:barChart>
        <c:barDir val="bar"/>
        <c:grouping val="clustered"/>
        <c:varyColors val="0"/>
        <c:ser>
          <c:idx val="1"/>
          <c:order val="1"/>
          <c:spPr>
            <a:solidFill>
              <a:srgbClr val="6F7CC7"/>
            </a:solidFill>
          </c:spPr>
          <c:invertIfNegative val="0"/>
          <c:val>
            <c:numRef>
              <c:f>Отчет!$J$10:$J$14</c:f>
              <c:numCache>
                <c:formatCode>#\ ##0_ ;\-#\ ##0\ </c:formatCode>
                <c:ptCount val="5"/>
                <c:pt idx="0">
                  <c:v>4500</c:v>
                </c:pt>
                <c:pt idx="1">
                  <c:v>21600</c:v>
                </c:pt>
                <c:pt idx="2">
                  <c:v>14400</c:v>
                </c:pt>
                <c:pt idx="3">
                  <c:v>3000</c:v>
                </c:pt>
                <c:pt idx="4">
                  <c:v>4200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56-42A9-9C4F-E3A5913FB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4"/>
        <c:axId val="-1424660512"/>
        <c:axId val="-1424661056"/>
      </c:barChart>
      <c:catAx>
        <c:axId val="-1424661600"/>
        <c:scaling>
          <c:orientation val="maxMin"/>
        </c:scaling>
        <c:delete val="0"/>
        <c:axPos val="l"/>
        <c:majorTickMark val="none"/>
        <c:minorTickMark val="none"/>
        <c:tickLblPos val="none"/>
        <c:crossAx val="-1424664320"/>
        <c:crosses val="autoZero"/>
        <c:auto val="1"/>
        <c:lblAlgn val="ctr"/>
        <c:lblOffset val="1"/>
        <c:noMultiLvlLbl val="0"/>
      </c:catAx>
      <c:valAx>
        <c:axId val="-1424664320"/>
        <c:scaling>
          <c:orientation val="minMax"/>
        </c:scaling>
        <c:delete val="0"/>
        <c:axPos val="t"/>
        <c:majorGridlines>
          <c:spPr>
            <a:ln w="12700">
              <a:solidFill>
                <a:schemeClr val="bg1"/>
              </a:solidFill>
            </a:ln>
          </c:spPr>
        </c:majorGridlines>
        <c:numFmt formatCode="#\ ##0_ ;\-#\ ##0\ " sourceLinked="1"/>
        <c:majorTickMark val="out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ru-RU"/>
          </a:p>
        </c:txPr>
        <c:crossAx val="-1424661600"/>
        <c:crosses val="autoZero"/>
        <c:crossBetween val="between"/>
      </c:valAx>
      <c:valAx>
        <c:axId val="-1424661056"/>
        <c:scaling>
          <c:orientation val="minMax"/>
        </c:scaling>
        <c:delete val="1"/>
        <c:axPos val="t"/>
        <c:numFmt formatCode="#\ ##0_ ;\-#\ ##0\ " sourceLinked="1"/>
        <c:majorTickMark val="out"/>
        <c:minorTickMark val="none"/>
        <c:tickLblPos val="nextTo"/>
        <c:crossAx val="-1424660512"/>
        <c:crosses val="autoZero"/>
        <c:crossBetween val="between"/>
      </c:valAx>
      <c:catAx>
        <c:axId val="-1424660512"/>
        <c:scaling>
          <c:orientation val="maxMin"/>
        </c:scaling>
        <c:delete val="1"/>
        <c:axPos val="l"/>
        <c:majorTickMark val="out"/>
        <c:minorTickMark val="none"/>
        <c:tickLblPos val="nextTo"/>
        <c:crossAx val="-1424661056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8408668982896"/>
          <c:y val="6.0857538035961271E-2"/>
          <c:w val="0.88133922284104727"/>
          <c:h val="0.660363874970174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Отчет!$I$59</c:f>
              <c:strCache>
                <c:ptCount val="1"/>
                <c:pt idx="0">
                  <c:v>база</c:v>
                </c:pt>
              </c:strCache>
            </c:strRef>
          </c:tx>
          <c:spPr>
            <a:solidFill>
              <a:srgbClr val="6F7CC7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F7CC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67C-4943-94A0-DE8F488C08FF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7C-4943-94A0-DE8F488C08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7C-4943-94A0-DE8F488C08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7C-4943-94A0-DE8F488C08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7C-4943-94A0-DE8F488C08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3F1ED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Отчет!$D$60:$H$65</c:f>
              <c:multiLvlStrCache>
                <c:ptCount val="6"/>
                <c:lvl>
                  <c:pt idx="0">
                    <c:v>плановая прибыль_x000d_100%</c:v>
                  </c:pt>
                  <c:pt idx="1">
                    <c:v>объем_x000d_+988_x000d_↑17%</c:v>
                  </c:pt>
                  <c:pt idx="2">
                    <c:v>цена_x000d_-3 600_x000d_↓63%</c:v>
                  </c:pt>
                  <c:pt idx="3">
                    <c:v>перем расх_x000d_-900_x000d_↓16%</c:v>
                  </c:pt>
                  <c:pt idx="4">
                    <c:v>пост расх_x000d_+2 000_x000d_↑35%</c:v>
                  </c:pt>
                  <c:pt idx="5">
                    <c:v>фактическая прибыль_x000d_74%</c:v>
                  </c:pt>
                </c:lvl>
                <c:lvl>
                  <c:pt idx="0">
                    <c:v> </c:v>
                  </c:pt>
                  <c:pt idx="1">
                    <c:v>факторы, влияющие на прибыль (% от плана)</c:v>
                  </c:pt>
                  <c:pt idx="5">
                    <c:v> </c:v>
                  </c:pt>
                </c:lvl>
              </c:multiLvlStrCache>
            </c:multiLvlStrRef>
          </c:cat>
          <c:val>
            <c:numRef>
              <c:f>Отчет!$I$60:$I$65</c:f>
              <c:numCache>
                <c:formatCode>#,##0</c:formatCode>
                <c:ptCount val="6"/>
                <c:pt idx="0">
                  <c:v>5711.9999999999982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4199.9999999999982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7C-4943-94A0-DE8F488C0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-1424658880"/>
        <c:axId val="-1424671392"/>
      </c:barChart>
      <c:barChart>
        <c:barDir val="col"/>
        <c:grouping val="percentStacked"/>
        <c:varyColors val="0"/>
        <c:ser>
          <c:idx val="3"/>
          <c:order val="3"/>
          <c:tx>
            <c:strRef>
              <c:f>Отчет!$L$59</c:f>
              <c:strCache>
                <c:ptCount val="1"/>
                <c:pt idx="0">
                  <c:v>фон1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multiLvlStrRef>
              <c:f>Отчет!$D$60:$H$65</c:f>
              <c:multiLvlStrCache>
                <c:ptCount val="6"/>
                <c:lvl>
                  <c:pt idx="0">
                    <c:v>плановая прибыль_x000d_100%</c:v>
                  </c:pt>
                  <c:pt idx="1">
                    <c:v>объем_x000d_+988_x000d_↑17%</c:v>
                  </c:pt>
                  <c:pt idx="2">
                    <c:v>цена_x000d_-3 600_x000d_↓63%</c:v>
                  </c:pt>
                  <c:pt idx="3">
                    <c:v>перем расх_x000d_-900_x000d_↓16%</c:v>
                  </c:pt>
                  <c:pt idx="4">
                    <c:v>пост расх_x000d_+2 000_x000d_↑35%</c:v>
                  </c:pt>
                  <c:pt idx="5">
                    <c:v>фактическая прибыль_x000d_74%</c:v>
                  </c:pt>
                </c:lvl>
                <c:lvl>
                  <c:pt idx="0">
                    <c:v> </c:v>
                  </c:pt>
                  <c:pt idx="1">
                    <c:v>факторы, влияющие на прибыль (% от плана)</c:v>
                  </c:pt>
                  <c:pt idx="5">
                    <c:v> </c:v>
                  </c:pt>
                </c:lvl>
              </c:multiLvlStrCache>
            </c:multiLvlStrRef>
          </c:cat>
          <c:val>
            <c:numRef>
              <c:f>Отчет!$L$60:$L$65</c:f>
              <c:numCache>
                <c:formatCode>0%</c:formatCode>
                <c:ptCount val="6"/>
                <c:pt idx="0" formatCode="#,##0">
                  <c:v>#N/A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 formatCode="#,##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7C-4943-94A0-DE8F488C0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1424674112"/>
        <c:axId val="-1424658336"/>
      </c:barChart>
      <c:lineChart>
        <c:grouping val="standard"/>
        <c:varyColors val="0"/>
        <c:ser>
          <c:idx val="1"/>
          <c:order val="1"/>
          <c:tx>
            <c:strRef>
              <c:f>Отчет!$J$59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Отчет!$D$60:$H$65</c:f>
              <c:multiLvlStrCache>
                <c:ptCount val="6"/>
                <c:lvl>
                  <c:pt idx="0">
                    <c:v>плановая прибыль_x000d_100%</c:v>
                  </c:pt>
                  <c:pt idx="1">
                    <c:v>объем_x000d_+988_x000d_↑17%</c:v>
                  </c:pt>
                  <c:pt idx="2">
                    <c:v>цена_x000d_-3 600_x000d_↓63%</c:v>
                  </c:pt>
                  <c:pt idx="3">
                    <c:v>перем расх_x000d_-900_x000d_↓16%</c:v>
                  </c:pt>
                  <c:pt idx="4">
                    <c:v>пост расх_x000d_+2 000_x000d_↑35%</c:v>
                  </c:pt>
                  <c:pt idx="5">
                    <c:v>фактическая прибыль_x000d_74%</c:v>
                  </c:pt>
                </c:lvl>
                <c:lvl>
                  <c:pt idx="0">
                    <c:v> </c:v>
                  </c:pt>
                  <c:pt idx="1">
                    <c:v>факторы, влияющие на прибыль (% от плана)</c:v>
                  </c:pt>
                  <c:pt idx="5">
                    <c:v> </c:v>
                  </c:pt>
                </c:lvl>
              </c:multiLvlStrCache>
            </c:multiLvlStrRef>
          </c:cat>
          <c:val>
            <c:numRef>
              <c:f>Отчет!$J$60:$J$65</c:f>
              <c:numCache>
                <c:formatCode>#,##0</c:formatCode>
                <c:ptCount val="6"/>
                <c:pt idx="0">
                  <c:v>#N/A</c:v>
                </c:pt>
                <c:pt idx="1">
                  <c:v>5711.9999999999982</c:v>
                </c:pt>
                <c:pt idx="2">
                  <c:v>6699.9999999999982</c:v>
                </c:pt>
                <c:pt idx="3">
                  <c:v>3099.9999999999991</c:v>
                </c:pt>
                <c:pt idx="4">
                  <c:v>2199.9999999999982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67C-4943-94A0-DE8F488C08FF}"/>
            </c:ext>
          </c:extLst>
        </c:ser>
        <c:ser>
          <c:idx val="2"/>
          <c:order val="2"/>
          <c:tx>
            <c:strRef>
              <c:f>Отчет!$K$59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Отчет!$D$60:$H$65</c:f>
              <c:multiLvlStrCache>
                <c:ptCount val="6"/>
                <c:lvl>
                  <c:pt idx="0">
                    <c:v>плановая прибыль_x000d_100%</c:v>
                  </c:pt>
                  <c:pt idx="1">
                    <c:v>объем_x000d_+988_x000d_↑17%</c:v>
                  </c:pt>
                  <c:pt idx="2">
                    <c:v>цена_x000d_-3 600_x000d_↓63%</c:v>
                  </c:pt>
                  <c:pt idx="3">
                    <c:v>перем расх_x000d_-900_x000d_↓16%</c:v>
                  </c:pt>
                  <c:pt idx="4">
                    <c:v>пост расх_x000d_+2 000_x000d_↑35%</c:v>
                  </c:pt>
                  <c:pt idx="5">
                    <c:v>фактическая прибыль_x000d_74%</c:v>
                  </c:pt>
                </c:lvl>
                <c:lvl>
                  <c:pt idx="0">
                    <c:v> </c:v>
                  </c:pt>
                  <c:pt idx="1">
                    <c:v>факторы, влияющие на прибыль (% от плана)</c:v>
                  </c:pt>
                  <c:pt idx="5">
                    <c:v> </c:v>
                  </c:pt>
                </c:lvl>
              </c:multiLvlStrCache>
            </c:multiLvlStrRef>
          </c:cat>
          <c:val>
            <c:numRef>
              <c:f>Отчет!$K$60:$K$65</c:f>
              <c:numCache>
                <c:formatCode>#,##0</c:formatCode>
                <c:ptCount val="6"/>
                <c:pt idx="0">
                  <c:v>#N/A</c:v>
                </c:pt>
                <c:pt idx="1">
                  <c:v>6699.9999999999982</c:v>
                </c:pt>
                <c:pt idx="2">
                  <c:v>3099.9999999999991</c:v>
                </c:pt>
                <c:pt idx="3">
                  <c:v>2199.9999999999982</c:v>
                </c:pt>
                <c:pt idx="4">
                  <c:v>4199.9999999999982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67C-4943-94A0-DE8F488C0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60"/>
          <c:upBars>
            <c:spPr>
              <a:solidFill>
                <a:srgbClr val="CFD2E3"/>
              </a:solidFill>
              <a:ln w="9525">
                <a:noFill/>
              </a:ln>
              <a:effectLst/>
            </c:spPr>
          </c:upBars>
          <c:downBars>
            <c:spPr>
              <a:solidFill>
                <a:srgbClr val="F0CBCA"/>
              </a:solidFill>
              <a:ln w="9525">
                <a:noFill/>
              </a:ln>
              <a:effectLst/>
            </c:spPr>
          </c:downBars>
        </c:upDownBars>
        <c:marker val="1"/>
        <c:smooth val="0"/>
        <c:axId val="-1424658880"/>
        <c:axId val="-1424671392"/>
      </c:lineChart>
      <c:catAx>
        <c:axId val="-142465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9C9C7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424671392"/>
        <c:crosses val="autoZero"/>
        <c:auto val="1"/>
        <c:lblAlgn val="ctr"/>
        <c:lblOffset val="0"/>
        <c:noMultiLvlLbl val="0"/>
      </c:catAx>
      <c:valAx>
        <c:axId val="-142467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424658880"/>
        <c:crosses val="autoZero"/>
        <c:crossBetween val="between"/>
      </c:valAx>
      <c:valAx>
        <c:axId val="-142465833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424674112"/>
        <c:crosses val="max"/>
        <c:crossBetween val="between"/>
      </c:valAx>
      <c:catAx>
        <c:axId val="-1424674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424658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04950039139852E-2"/>
          <c:y val="0.11120820756537614"/>
          <c:w val="0.69105051342266421"/>
          <c:h val="0.88516561734864074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F0CBCA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D6-465D-BF13-23E6DFD001EA}"/>
              </c:ext>
            </c:extLst>
          </c:dPt>
          <c:dPt>
            <c:idx val="1"/>
            <c:bubble3D val="0"/>
            <c:spPr>
              <a:solidFill>
                <a:srgbClr val="EBE7E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DD6-465D-BF13-23E6DFD001EA}"/>
              </c:ext>
            </c:extLst>
          </c:dPt>
          <c:dPt>
            <c:idx val="2"/>
            <c:bubble3D val="0"/>
            <c:spPr>
              <a:solidFill>
                <a:srgbClr val="6F7CC7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DD6-465D-BF13-23E6DFD001EA}"/>
              </c:ext>
            </c:extLst>
          </c:dPt>
          <c:dPt>
            <c:idx val="3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DD6-465D-BF13-23E6DFD001EA}"/>
              </c:ext>
            </c:extLst>
          </c:dPt>
          <c:val>
            <c:numRef>
              <c:f>Отчет!$O$60:$O$63</c:f>
              <c:numCache>
                <c:formatCode>#,##0</c:formatCode>
                <c:ptCount val="4"/>
                <c:pt idx="0">
                  <c:v>9000.0000000000018</c:v>
                </c:pt>
                <c:pt idx="1">
                  <c:v>14071.999999999998</c:v>
                </c:pt>
                <c:pt idx="2">
                  <c:v>928</c:v>
                </c:pt>
                <c:pt idx="3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DD6-465D-BF13-23E6DFD00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  <c:holeSize val="75"/>
      </c:doughnutChart>
      <c:pieChart>
        <c:varyColors val="1"/>
        <c:ser>
          <c:idx val="1"/>
          <c:order val="1"/>
          <c:spPr>
            <a:noFill/>
            <a:ln>
              <a:noFill/>
            </a:ln>
          </c:spPr>
          <c:explosion val="5"/>
          <c:dPt>
            <c:idx val="0"/>
            <c:bubble3D val="0"/>
            <c:explosion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DD6-465D-BF13-23E6DFD001EA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rgbClr val="BBBBB9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DD6-465D-BF13-23E6DFD001EA}"/>
              </c:ext>
            </c:extLst>
          </c:dPt>
          <c:dPt>
            <c:idx val="2"/>
            <c:bubble3D val="0"/>
            <c:explosion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DD6-465D-BF13-23E6DFD001EA}"/>
              </c:ext>
            </c:extLst>
          </c:dPt>
          <c:dPt>
            <c:idx val="3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3DD6-465D-BF13-23E6DFD001E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D6-465D-BF13-23E6DFD001EA}"/>
                </c:ext>
              </c:extLst>
            </c:dLbl>
            <c:dLbl>
              <c:idx val="1"/>
              <c:tx>
                <c:strRef>
                  <c:f>Отчет!$U$60</c:f>
                  <c:strCache>
                    <c:ptCount val="1"/>
                    <c:pt idx="0">
                      <c:v>факт_x000d_21 600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{D10BC1DE-C964-489E-A219-F3011B462473}</c15:txfldGUID>
                      <c15:f>Отчет!$U$60</c15:f>
                      <c15:dlblFieldTableCache>
                        <c:ptCount val="1"/>
                        <c:pt idx="0">
                          <c:v>факт_x000d_21 600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3DD6-465D-BF13-23E6DFD001E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DD6-465D-BF13-23E6DFD001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Отчет!$P$60:$P$63</c:f>
              <c:numCache>
                <c:formatCode>General</c:formatCode>
                <c:ptCount val="4"/>
                <c:pt idx="0" formatCode="#\ ##0_ ;\-#\ ##0\ ">
                  <c:v>21600</c:v>
                </c:pt>
                <c:pt idx="1">
                  <c:v>0</c:v>
                </c:pt>
                <c:pt idx="2" formatCode="#,##0">
                  <c:v>26400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DD6-465D-BF13-23E6DFD00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t.me/finalyticspro" TargetMode="External"/><Relationship Id="rId7" Type="http://schemas.openxmlformats.org/officeDocument/2006/relationships/hyperlink" Target="https://finalytics.pro/pbimail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vk.com/finalytics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youtube.com/salosteysv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finalytics.pro/infor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587655</xdr:colOff>
      <xdr:row>7</xdr:row>
      <xdr:rowOff>139148</xdr:rowOff>
    </xdr:from>
    <xdr:to>
      <xdr:col>12</xdr:col>
      <xdr:colOff>569843</xdr:colOff>
      <xdr:row>13</xdr:row>
      <xdr:rowOff>178905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76201</xdr:colOff>
      <xdr:row>17</xdr:row>
      <xdr:rowOff>0</xdr:rowOff>
    </xdr:from>
    <xdr:to>
      <xdr:col>16</xdr:col>
      <xdr:colOff>63500</xdr:colOff>
      <xdr:row>29</xdr:row>
      <xdr:rowOff>76200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258417</xdr:colOff>
      <xdr:row>17</xdr:row>
      <xdr:rowOff>152402</xdr:rowOff>
    </xdr:from>
    <xdr:to>
      <xdr:col>8</xdr:col>
      <xdr:colOff>536713</xdr:colOff>
      <xdr:row>28</xdr:row>
      <xdr:rowOff>172279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243605</xdr:colOff>
      <xdr:row>26</xdr:row>
      <xdr:rowOff>55543</xdr:rowOff>
    </xdr:from>
    <xdr:to>
      <xdr:col>4</xdr:col>
      <xdr:colOff>351605</xdr:colOff>
      <xdr:row>26</xdr:row>
      <xdr:rowOff>163543</xdr:rowOff>
    </xdr:to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43535" y="5767230"/>
          <a:ext cx="108000" cy="108000"/>
        </a:xfrm>
        <a:prstGeom prst="rect">
          <a:avLst/>
        </a:prstGeom>
        <a:solidFill>
          <a:srgbClr val="F0CBC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247640</xdr:colOff>
      <xdr:row>28</xdr:row>
      <xdr:rowOff>54549</xdr:rowOff>
    </xdr:from>
    <xdr:to>
      <xdr:col>4</xdr:col>
      <xdr:colOff>355640</xdr:colOff>
      <xdr:row>28</xdr:row>
      <xdr:rowOff>162549</xdr:rowOff>
    </xdr:to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347570" y="6137297"/>
          <a:ext cx="108000" cy="108000"/>
        </a:xfrm>
        <a:prstGeom prst="rect">
          <a:avLst/>
        </a:prstGeom>
        <a:solidFill>
          <a:srgbClr val="6F7C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0.41038</cdr:x>
      <cdr:y>0.52505</cdr:y>
    </cdr:from>
    <cdr:to>
      <cdr:x>0.44575</cdr:x>
      <cdr:y>0.57746</cdr:y>
    </cdr:to>
    <cdr:sp macro="" textlink="">
      <cdr:nvSpPr>
        <cdr:cNvPr id="2" name="Овал 1"/>
        <cdr:cNvSpPr/>
      </cdr:nvSpPr>
      <cdr:spPr>
        <a:xfrm xmlns:a="http://schemas.openxmlformats.org/drawingml/2006/main">
          <a:off x="1256289" y="1081971"/>
          <a:ext cx="108277" cy="108000"/>
        </a:xfrm>
        <a:prstGeom xmlns:a="http://schemas.openxmlformats.org/drawingml/2006/main" prst="ellipse">
          <a:avLst/>
        </a:prstGeom>
        <a:solidFill xmlns:a="http://schemas.openxmlformats.org/drawingml/2006/main">
          <a:srgbClr val="FAF9F7"/>
        </a:solidFill>
        <a:ln xmlns:a="http://schemas.openxmlformats.org/drawingml/2006/main" w="19050">
          <a:solidFill>
            <a:srgbClr val="BBBBB9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0.12839</cdr:x>
      <cdr:y>0.54157</cdr:y>
    </cdr:from>
    <cdr:to>
      <cdr:x>0.21962</cdr:x>
      <cdr:y>0.66292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3027" y="1015542"/>
          <a:ext cx="279278" cy="227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900">
              <a:solidFill>
                <a:schemeClr val="tx1">
                  <a:lumMod val="50000"/>
                  <a:lumOff val="50000"/>
                </a:schemeClr>
              </a:solidFill>
            </a:rPr>
            <a:t>0</a:t>
          </a:r>
        </a:p>
      </cdr:txBody>
    </cdr:sp>
  </cdr:relSizeAnchor>
  <cdr:relSizeAnchor xmlns:cdr="http://schemas.openxmlformats.org/drawingml/2006/chartDrawing">
    <cdr:from>
      <cdr:x>0.25047</cdr:x>
      <cdr:y>0</cdr:y>
    </cdr:from>
    <cdr:to>
      <cdr:x>0.61538</cdr:x>
      <cdr:y>0.11461</cdr:y>
    </cdr:to>
    <cdr:sp macro="" textlink="Отчет!$P$65">
      <cdr:nvSpPr>
        <cdr:cNvPr id="4" name="TextBox 3"/>
        <cdr:cNvSpPr txBox="1"/>
      </cdr:nvSpPr>
      <cdr:spPr>
        <a:xfrm xmlns:a="http://schemas.openxmlformats.org/drawingml/2006/main">
          <a:off x="766738" y="0"/>
          <a:ext cx="1117082" cy="214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8A205990-AD7B-4681-BD6F-756A625BF1D4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Calibri"/>
            </a:rPr>
            <a:pPr algn="ctr"/>
            <a:t>12 000</a:t>
          </a:fld>
          <a:endParaRPr lang="ru-RU" sz="70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0.59934</cdr:x>
      <cdr:y>0.5358</cdr:y>
    </cdr:from>
    <cdr:to>
      <cdr:x>0.95022</cdr:x>
      <cdr:y>0.6504</cdr:y>
    </cdr:to>
    <cdr:sp macro="" textlink="Отчет!$O$65">
      <cdr:nvSpPr>
        <cdr:cNvPr id="5" name="TextBox 4"/>
        <cdr:cNvSpPr txBox="1"/>
      </cdr:nvSpPr>
      <cdr:spPr>
        <a:xfrm xmlns:a="http://schemas.openxmlformats.org/drawingml/2006/main">
          <a:off x="1834720" y="1004716"/>
          <a:ext cx="1074132" cy="2148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20A2890B-8AA7-4279-A003-4D11E5FEEFAF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Calibri"/>
            </a:rPr>
            <a:pPr algn="l"/>
            <a:t>24 000</a:t>
          </a:fld>
          <a:endParaRPr lang="ru-RU" sz="50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0.42949</cdr:x>
      <cdr:y>0.10395</cdr:y>
    </cdr:from>
    <cdr:to>
      <cdr:x>0.42949</cdr:x>
      <cdr:y>0.13304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id="{F2816A2A-31C4-49A2-9514-A085D10A428A}"/>
            </a:ext>
          </a:extLst>
        </cdr:cNvPr>
        <cdr:cNvCxnSpPr/>
      </cdr:nvCxnSpPr>
      <cdr:spPr>
        <a:xfrm xmlns:a="http://schemas.openxmlformats.org/drawingml/2006/main" flipV="1">
          <a:off x="1279960" y="257222"/>
          <a:ext cx="0" cy="72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62207</xdr:colOff>
      <xdr:row>5</xdr:row>
      <xdr:rowOff>64562</xdr:rowOff>
    </xdr:from>
    <xdr:to>
      <xdr:col>1</xdr:col>
      <xdr:colOff>242207</xdr:colOff>
      <xdr:row>5</xdr:row>
      <xdr:rowOff>244562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0EC511-56FE-4EDD-92E0-D79FE366C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67" y="2015282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62207</xdr:colOff>
      <xdr:row>6</xdr:row>
      <xdr:rowOff>48489</xdr:rowOff>
    </xdr:from>
    <xdr:to>
      <xdr:col>1</xdr:col>
      <xdr:colOff>242207</xdr:colOff>
      <xdr:row>6</xdr:row>
      <xdr:rowOff>228489</xdr:rowOff>
    </xdr:to>
    <xdr:pic>
      <xdr:nvPicPr>
        <xdr:cNvPr id="3" name="Рисунок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660E4F-91EC-4672-87DE-A33D23D7F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67" y="2288769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62207</xdr:colOff>
      <xdr:row>4</xdr:row>
      <xdr:rowOff>55143</xdr:rowOff>
    </xdr:from>
    <xdr:to>
      <xdr:col>1</xdr:col>
      <xdr:colOff>242207</xdr:colOff>
      <xdr:row>4</xdr:row>
      <xdr:rowOff>235143</xdr:rowOff>
    </xdr:to>
    <xdr:pic>
      <xdr:nvPicPr>
        <xdr:cNvPr id="4" name="Рисунок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B37070B-D5DB-4504-B408-6480E67ED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67" y="1716303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76201</xdr:colOff>
      <xdr:row>7</xdr:row>
      <xdr:rowOff>69273</xdr:rowOff>
    </xdr:from>
    <xdr:to>
      <xdr:col>1</xdr:col>
      <xdr:colOff>248771</xdr:colOff>
      <xdr:row>7</xdr:row>
      <xdr:rowOff>241843</xdr:rowOff>
    </xdr:to>
    <xdr:pic>
      <xdr:nvPicPr>
        <xdr:cNvPr id="5" name="Рисунок 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6E4A272-1D76-4BB0-BD2A-B3C135AC8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lum bright="70000" contrast="-70000"/>
          <a:alphaModFix amt="53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1" y="2599113"/>
          <a:ext cx="172570" cy="172570"/>
        </a:xfrm>
        <a:prstGeom prst="rect">
          <a:avLst/>
        </a:prstGeom>
      </xdr:spPr>
    </xdr:pic>
    <xdr:clientData/>
  </xdr:twoCellAnchor>
  <xdr:twoCellAnchor editAs="oneCell">
    <xdr:from>
      <xdr:col>1</xdr:col>
      <xdr:colOff>19879</xdr:colOff>
      <xdr:row>3</xdr:row>
      <xdr:rowOff>26504</xdr:rowOff>
    </xdr:from>
    <xdr:to>
      <xdr:col>1</xdr:col>
      <xdr:colOff>265045</xdr:colOff>
      <xdr:row>3</xdr:row>
      <xdr:rowOff>271670</xdr:rowOff>
    </xdr:to>
    <xdr:pic>
      <xdr:nvPicPr>
        <xdr:cNvPr id="6" name="Рисунок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D20FB39-66A6-4BB8-B054-44A7D441E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439" y="1398104"/>
          <a:ext cx="245166" cy="245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finalytics" TargetMode="External"/><Relationship Id="rId2" Type="http://schemas.openxmlformats.org/officeDocument/2006/relationships/hyperlink" Target="https://www.youtube.com/salosteysv" TargetMode="External"/><Relationship Id="rId1" Type="http://schemas.openxmlformats.org/officeDocument/2006/relationships/hyperlink" Target="https://finalytics.pro/inform/" TargetMode="External"/><Relationship Id="rId6" Type="http://schemas.openxmlformats.org/officeDocument/2006/relationships/drawing" Target="../drawings/drawing3.xml"/><Relationship Id="rId5" Type="http://schemas.openxmlformats.org/officeDocument/2006/relationships/hyperlink" Target="https://t.me/finalyticspro" TargetMode="External"/><Relationship Id="rId4" Type="http://schemas.openxmlformats.org/officeDocument/2006/relationships/hyperlink" Target="https://finalytics.pro/pbima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C1:U67"/>
  <sheetViews>
    <sheetView showGridLines="0" tabSelected="1" zoomScale="110" zoomScaleNormal="110" workbookViewId="0"/>
  </sheetViews>
  <sheetFormatPr defaultColWidth="9.109375" defaultRowHeight="14.4" x14ac:dyDescent="0.3"/>
  <cols>
    <col min="1" max="1" width="5.21875" customWidth="1"/>
    <col min="2" max="2" width="2" customWidth="1"/>
    <col min="3" max="3" width="5.109375" customWidth="1"/>
    <col min="4" max="4" width="1" customWidth="1"/>
    <col min="5" max="5" width="19" customWidth="1"/>
    <col min="6" max="7" width="7.109375" customWidth="1"/>
    <col min="8" max="8" width="1.109375" customWidth="1"/>
    <col min="11" max="11" width="8.33203125" customWidth="1"/>
    <col min="12" max="12" width="10" customWidth="1"/>
    <col min="15" max="16" width="9.109375" customWidth="1"/>
    <col min="17" max="17" width="1.33203125" customWidth="1"/>
    <col min="18" max="18" width="5.33203125" customWidth="1"/>
    <col min="19" max="19" width="1" customWidth="1"/>
    <col min="20" max="20" width="25.88671875" customWidth="1"/>
    <col min="21" max="21" width="17.33203125" customWidth="1"/>
    <col min="27" max="27" width="17.33203125" customWidth="1"/>
  </cols>
  <sheetData>
    <row r="1" spans="3:19" ht="24.6" customHeight="1" x14ac:dyDescent="0.3"/>
    <row r="3" spans="3:19" ht="44.4" customHeight="1" x14ac:dyDescent="0.4">
      <c r="C3" s="101"/>
      <c r="D3" s="102"/>
      <c r="E3" s="103" t="str">
        <f>F46</f>
        <v>План-факт анализ Бюджета доходов и расходов (БДР)</v>
      </c>
      <c r="F3" s="104"/>
      <c r="G3" s="104"/>
      <c r="H3" s="104"/>
      <c r="I3" s="104"/>
      <c r="J3" s="104"/>
      <c r="K3" s="104"/>
      <c r="L3" s="104"/>
      <c r="M3" s="104"/>
      <c r="N3" s="104"/>
      <c r="O3" s="105"/>
      <c r="P3" s="106" t="str">
        <f>F47</f>
        <v>х 1000 ₽</v>
      </c>
      <c r="Q3" s="107"/>
      <c r="R3" s="108"/>
    </row>
    <row r="4" spans="3:19" ht="4.8" customHeight="1" x14ac:dyDescent="0.4">
      <c r="C4" s="109"/>
      <c r="D4" s="110"/>
      <c r="E4" s="111"/>
      <c r="F4" s="112"/>
      <c r="G4" s="112"/>
      <c r="H4" s="112"/>
      <c r="I4" s="112"/>
      <c r="J4" s="112"/>
      <c r="K4" s="112"/>
      <c r="L4" s="112"/>
      <c r="M4" s="112"/>
      <c r="N4" s="112"/>
      <c r="O4" s="113"/>
      <c r="P4" s="114"/>
      <c r="Q4" s="115"/>
      <c r="R4" s="116"/>
    </row>
    <row r="5" spans="3:19" ht="30" customHeight="1" x14ac:dyDescent="0.3">
      <c r="C5" s="1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3"/>
    </row>
    <row r="6" spans="3:19" ht="17.399999999999999" customHeight="1" x14ac:dyDescent="0.3">
      <c r="C6" s="12"/>
      <c r="D6" s="3"/>
      <c r="E6" s="117" t="s">
        <v>0</v>
      </c>
      <c r="F6" s="118"/>
      <c r="G6" s="118"/>
      <c r="H6" s="17"/>
      <c r="I6" s="17"/>
      <c r="J6" s="17"/>
      <c r="K6" s="17"/>
      <c r="L6" s="17"/>
      <c r="M6" s="17"/>
      <c r="N6" s="17"/>
      <c r="O6" s="17"/>
      <c r="P6" s="17"/>
      <c r="Q6" s="3"/>
      <c r="R6" s="13"/>
    </row>
    <row r="7" spans="3:19" x14ac:dyDescent="0.3"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3"/>
    </row>
    <row r="8" spans="3:19" x14ac:dyDescent="0.3">
      <c r="C8" s="12"/>
      <c r="D8" s="3"/>
      <c r="E8" s="8"/>
      <c r="F8" s="123" t="s">
        <v>5</v>
      </c>
      <c r="G8" s="123"/>
      <c r="H8" s="25"/>
      <c r="I8" s="123" t="s">
        <v>8</v>
      </c>
      <c r="J8" s="123"/>
      <c r="K8" s="8"/>
      <c r="L8" s="8"/>
      <c r="M8" s="8"/>
      <c r="N8" s="123" t="s">
        <v>9</v>
      </c>
      <c r="O8" s="123"/>
      <c r="P8" s="123"/>
      <c r="Q8" s="3"/>
      <c r="R8" s="13"/>
    </row>
    <row r="9" spans="3:19" x14ac:dyDescent="0.3">
      <c r="C9" s="12"/>
      <c r="D9" s="3"/>
      <c r="E9" s="9"/>
      <c r="F9" s="26" t="s">
        <v>1</v>
      </c>
      <c r="G9" s="26" t="s">
        <v>2</v>
      </c>
      <c r="H9" s="26"/>
      <c r="I9" s="26" t="s">
        <v>1</v>
      </c>
      <c r="J9" s="26" t="s">
        <v>2</v>
      </c>
      <c r="K9" s="9"/>
      <c r="L9" s="9"/>
      <c r="M9" s="9"/>
      <c r="N9" s="26" t="s">
        <v>10</v>
      </c>
      <c r="O9" s="26" t="s">
        <v>11</v>
      </c>
      <c r="P9" s="26" t="s">
        <v>12</v>
      </c>
      <c r="Q9" s="3"/>
      <c r="R9" s="13"/>
    </row>
    <row r="10" spans="3:19" ht="15" thickBot="1" x14ac:dyDescent="0.35">
      <c r="C10" s="12"/>
      <c r="D10" s="3"/>
      <c r="E10" s="27" t="s">
        <v>20</v>
      </c>
      <c r="F10" s="28">
        <v>1</v>
      </c>
      <c r="G10" s="28">
        <v>1</v>
      </c>
      <c r="H10" s="29"/>
      <c r="I10" s="30">
        <f>F42</f>
        <v>4120</v>
      </c>
      <c r="J10" s="31">
        <f>G42</f>
        <v>4500</v>
      </c>
      <c r="K10" s="32"/>
      <c r="L10" s="32"/>
      <c r="M10" s="32"/>
      <c r="N10" s="33">
        <f>J10-I10</f>
        <v>380</v>
      </c>
      <c r="O10" s="34">
        <f>N10/I10</f>
        <v>9.2233009708737865E-2</v>
      </c>
      <c r="P10" s="22">
        <f t="shared" ref="P10:P14" si="0">O10</f>
        <v>9.2233009708737865E-2</v>
      </c>
      <c r="Q10" s="3"/>
      <c r="R10" s="13"/>
    </row>
    <row r="11" spans="3:19" ht="15" thickBot="1" x14ac:dyDescent="0.35">
      <c r="C11" s="12"/>
      <c r="D11" s="3"/>
      <c r="E11" s="27" t="s">
        <v>3</v>
      </c>
      <c r="F11" s="28">
        <f>F43</f>
        <v>5.6</v>
      </c>
      <c r="G11" s="28">
        <f>G43</f>
        <v>4.8</v>
      </c>
      <c r="H11" s="29"/>
      <c r="I11" s="30">
        <f>F11*I10</f>
        <v>23072</v>
      </c>
      <c r="J11" s="31">
        <f>G11*J10</f>
        <v>21600</v>
      </c>
      <c r="K11" s="32"/>
      <c r="L11" s="32"/>
      <c r="M11" s="32"/>
      <c r="N11" s="33">
        <f t="shared" ref="N11:N14" si="1">J11-I11</f>
        <v>-1472</v>
      </c>
      <c r="O11" s="34">
        <f t="shared" ref="O11:O14" si="2">N11/I11</f>
        <v>-6.3800277392510402E-2</v>
      </c>
      <c r="P11" s="22">
        <f t="shared" si="0"/>
        <v>-6.3800277392510402E-2</v>
      </c>
      <c r="Q11" s="3"/>
      <c r="R11" s="13"/>
    </row>
    <row r="12" spans="3:19" ht="15" thickBot="1" x14ac:dyDescent="0.35">
      <c r="C12" s="12"/>
      <c r="D12" s="3"/>
      <c r="E12" s="35" t="s">
        <v>4</v>
      </c>
      <c r="F12" s="36">
        <f>F44</f>
        <v>3</v>
      </c>
      <c r="G12" s="36">
        <f>G44</f>
        <v>3.2</v>
      </c>
      <c r="H12" s="37"/>
      <c r="I12" s="30">
        <f>F12*I10</f>
        <v>12360</v>
      </c>
      <c r="J12" s="31">
        <f>G12*J10</f>
        <v>14400</v>
      </c>
      <c r="K12" s="38"/>
      <c r="L12" s="38"/>
      <c r="M12" s="38"/>
      <c r="N12" s="39">
        <f t="shared" si="1"/>
        <v>2040</v>
      </c>
      <c r="O12" s="34">
        <f t="shared" si="2"/>
        <v>0.1650485436893204</v>
      </c>
      <c r="P12" s="23">
        <f t="shared" si="0"/>
        <v>0.1650485436893204</v>
      </c>
      <c r="Q12" s="3"/>
      <c r="R12" s="13"/>
    </row>
    <row r="13" spans="3:19" ht="15" thickBot="1" x14ac:dyDescent="0.35">
      <c r="C13" s="12"/>
      <c r="D13" s="3"/>
      <c r="E13" s="35" t="s">
        <v>6</v>
      </c>
      <c r="F13" s="36">
        <v>0</v>
      </c>
      <c r="G13" s="36">
        <v>0</v>
      </c>
      <c r="H13" s="37"/>
      <c r="I13" s="30">
        <f>F45</f>
        <v>5000</v>
      </c>
      <c r="J13" s="31">
        <f>G45</f>
        <v>3000</v>
      </c>
      <c r="K13" s="38"/>
      <c r="L13" s="38"/>
      <c r="M13" s="38"/>
      <c r="N13" s="39">
        <f t="shared" si="1"/>
        <v>-2000</v>
      </c>
      <c r="O13" s="34">
        <f t="shared" si="2"/>
        <v>-0.4</v>
      </c>
      <c r="P13" s="23">
        <f t="shared" si="0"/>
        <v>-0.4</v>
      </c>
      <c r="Q13" s="3"/>
      <c r="R13" s="13"/>
    </row>
    <row r="14" spans="3:19" x14ac:dyDescent="0.3">
      <c r="C14" s="12"/>
      <c r="D14" s="3"/>
      <c r="E14" s="40" t="s">
        <v>7</v>
      </c>
      <c r="F14" s="41">
        <v>0</v>
      </c>
      <c r="G14" s="41">
        <v>0</v>
      </c>
      <c r="H14" s="42"/>
      <c r="I14" s="43">
        <f>I11-I12-I13</f>
        <v>5712</v>
      </c>
      <c r="J14" s="44">
        <f>J11-J12-J13</f>
        <v>4200</v>
      </c>
      <c r="K14" s="42"/>
      <c r="L14" s="42"/>
      <c r="M14" s="42"/>
      <c r="N14" s="45">
        <f t="shared" si="1"/>
        <v>-1512</v>
      </c>
      <c r="O14" s="46">
        <f t="shared" si="2"/>
        <v>-0.26470588235294118</v>
      </c>
      <c r="P14" s="24">
        <f t="shared" si="0"/>
        <v>-0.26470588235294118</v>
      </c>
      <c r="Q14" s="3"/>
      <c r="R14" s="13"/>
    </row>
    <row r="15" spans="3:19" ht="30" customHeight="1" x14ac:dyDescent="0.3">
      <c r="C15" s="12"/>
      <c r="D15" s="3"/>
      <c r="E15" s="1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3"/>
      <c r="S15" s="1"/>
    </row>
    <row r="16" spans="3:19" ht="17.399999999999999" customHeight="1" x14ac:dyDescent="0.3">
      <c r="C16" s="12"/>
      <c r="D16" s="3"/>
      <c r="E16" s="117" t="s">
        <v>28</v>
      </c>
      <c r="F16" s="118"/>
      <c r="G16" s="118"/>
      <c r="H16" s="17"/>
      <c r="I16" s="17"/>
      <c r="J16" s="117" t="s">
        <v>45</v>
      </c>
      <c r="K16" s="118"/>
      <c r="L16" s="118"/>
      <c r="M16" s="118"/>
      <c r="N16" s="118"/>
      <c r="O16" s="118"/>
      <c r="P16" s="118"/>
      <c r="Q16" s="3"/>
      <c r="R16" s="13"/>
    </row>
    <row r="17" spans="3:18" x14ac:dyDescent="0.3">
      <c r="C17" s="12"/>
      <c r="D17" s="3"/>
      <c r="E17" s="10"/>
      <c r="F17" s="3"/>
      <c r="G17" s="3"/>
      <c r="H17" s="3"/>
      <c r="I17" s="3"/>
      <c r="J17" s="2"/>
      <c r="K17" s="3"/>
      <c r="L17" s="3"/>
      <c r="M17" s="3"/>
      <c r="N17" s="3"/>
      <c r="O17" s="3"/>
      <c r="P17" s="3"/>
      <c r="Q17" s="3"/>
      <c r="R17" s="13"/>
    </row>
    <row r="18" spans="3:18" x14ac:dyDescent="0.3">
      <c r="C18" s="1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13"/>
    </row>
    <row r="19" spans="3:18" x14ac:dyDescent="0.3">
      <c r="C19" s="1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4"/>
      <c r="Q19" s="3"/>
      <c r="R19" s="13"/>
    </row>
    <row r="20" spans="3:18" x14ac:dyDescent="0.3">
      <c r="C20" s="1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4"/>
      <c r="Q20" s="3"/>
      <c r="R20" s="13"/>
    </row>
    <row r="21" spans="3:18" x14ac:dyDescent="0.3">
      <c r="C21" s="1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4"/>
      <c r="Q21" s="3"/>
      <c r="R21" s="13"/>
    </row>
    <row r="22" spans="3:18" x14ac:dyDescent="0.3">
      <c r="C22" s="12"/>
      <c r="D22" s="3"/>
      <c r="E22" s="3"/>
      <c r="F22" s="3"/>
      <c r="G22" s="3"/>
      <c r="H22" s="3"/>
      <c r="I22" s="11"/>
      <c r="J22" s="5"/>
      <c r="K22" s="3"/>
      <c r="L22" s="3"/>
      <c r="M22" s="3"/>
      <c r="N22" s="3"/>
      <c r="O22" s="3"/>
      <c r="P22" s="6"/>
      <c r="Q22" s="7"/>
      <c r="R22" s="13"/>
    </row>
    <row r="23" spans="3:18" x14ac:dyDescent="0.3">
      <c r="C23" s="1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4"/>
      <c r="Q23" s="3"/>
      <c r="R23" s="13"/>
    </row>
    <row r="24" spans="3:18" x14ac:dyDescent="0.3">
      <c r="C24" s="1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4"/>
      <c r="Q24" s="3"/>
      <c r="R24" s="13"/>
    </row>
    <row r="25" spans="3:18" x14ac:dyDescent="0.3">
      <c r="C25" s="1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4"/>
      <c r="Q25" s="3"/>
      <c r="R25" s="13"/>
    </row>
    <row r="26" spans="3:18" x14ac:dyDescent="0.3">
      <c r="C26" s="1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4"/>
      <c r="Q26" s="3"/>
      <c r="R26" s="13"/>
    </row>
    <row r="27" spans="3:18" x14ac:dyDescent="0.3">
      <c r="C27" s="12"/>
      <c r="D27" s="10"/>
      <c r="E27" s="21" t="s">
        <v>41</v>
      </c>
      <c r="F27" s="18"/>
      <c r="G27" s="19">
        <f>O60</f>
        <v>9000.0000000000018</v>
      </c>
      <c r="H27" s="19"/>
      <c r="I27" s="19"/>
      <c r="J27" s="3"/>
      <c r="K27" s="3"/>
      <c r="L27" s="3"/>
      <c r="M27" s="3"/>
      <c r="N27" s="3"/>
      <c r="O27" s="3"/>
      <c r="P27" s="3"/>
      <c r="Q27" s="3"/>
      <c r="R27" s="13"/>
    </row>
    <row r="28" spans="3:18" x14ac:dyDescent="0.3">
      <c r="C28" s="12"/>
      <c r="D28" s="10"/>
      <c r="E28" s="21" t="s">
        <v>42</v>
      </c>
      <c r="F28" s="18"/>
      <c r="G28" s="19">
        <f>P60-O60</f>
        <v>12599.999999999998</v>
      </c>
      <c r="H28" s="18"/>
      <c r="I28" s="18"/>
      <c r="J28" s="3"/>
      <c r="K28" s="3"/>
      <c r="L28" s="3"/>
      <c r="M28" s="3"/>
      <c r="N28" s="3"/>
      <c r="O28" s="3"/>
      <c r="P28" s="3"/>
      <c r="Q28" s="3"/>
      <c r="R28" s="13"/>
    </row>
    <row r="29" spans="3:18" x14ac:dyDescent="0.3">
      <c r="C29" s="12"/>
      <c r="D29" s="10"/>
      <c r="E29" s="21" t="s">
        <v>36</v>
      </c>
      <c r="F29" s="18"/>
      <c r="G29" s="19">
        <f>I11</f>
        <v>23072</v>
      </c>
      <c r="H29" s="19"/>
      <c r="I29" s="19"/>
      <c r="J29" s="3"/>
      <c r="K29" s="3"/>
      <c r="L29" s="3"/>
      <c r="M29" s="3"/>
      <c r="N29" s="3"/>
      <c r="O29" s="3"/>
      <c r="P29" s="3"/>
      <c r="Q29" s="3"/>
      <c r="R29" s="13"/>
    </row>
    <row r="30" spans="3:18" x14ac:dyDescent="0.3">
      <c r="C30" s="12"/>
      <c r="D30" s="10"/>
      <c r="E30" s="20"/>
      <c r="F30" s="20"/>
      <c r="G30" s="20"/>
      <c r="H30" s="20"/>
      <c r="I30" s="20"/>
      <c r="J30" s="3"/>
      <c r="K30" s="3"/>
      <c r="L30" s="3"/>
      <c r="M30" s="3"/>
      <c r="N30" s="3"/>
      <c r="O30" s="3"/>
      <c r="P30" s="3"/>
      <c r="Q30" s="3"/>
      <c r="R30" s="13"/>
    </row>
    <row r="31" spans="3:18" ht="22.2" customHeight="1" x14ac:dyDescent="0.3"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</row>
    <row r="41" spans="3:21" x14ac:dyDescent="0.3">
      <c r="C41" s="47"/>
      <c r="D41" s="47"/>
      <c r="E41" s="94" t="s">
        <v>23</v>
      </c>
      <c r="F41" s="48" t="s">
        <v>1</v>
      </c>
      <c r="G41" s="49" t="s">
        <v>2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3:21" x14ac:dyDescent="0.3">
      <c r="C42" s="47"/>
      <c r="D42" s="47"/>
      <c r="E42" s="50" t="s">
        <v>20</v>
      </c>
      <c r="F42" s="51">
        <v>4120</v>
      </c>
      <c r="G42" s="52">
        <v>4500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3:21" x14ac:dyDescent="0.3">
      <c r="C43" s="47"/>
      <c r="D43" s="47"/>
      <c r="E43" s="53" t="s">
        <v>15</v>
      </c>
      <c r="F43" s="54">
        <v>5.6</v>
      </c>
      <c r="G43" s="55">
        <v>4.8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3:21" x14ac:dyDescent="0.3">
      <c r="C44" s="47"/>
      <c r="D44" s="47"/>
      <c r="E44" s="53" t="s">
        <v>21</v>
      </c>
      <c r="F44" s="54">
        <v>3</v>
      </c>
      <c r="G44" s="55">
        <v>3.2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3:21" x14ac:dyDescent="0.3">
      <c r="C45" s="47"/>
      <c r="D45" s="47"/>
      <c r="E45" s="56" t="s">
        <v>22</v>
      </c>
      <c r="F45" s="57">
        <v>5000</v>
      </c>
      <c r="G45" s="58">
        <v>3000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3:21" x14ac:dyDescent="0.3">
      <c r="C46" s="47"/>
      <c r="D46" s="47"/>
      <c r="E46" s="50" t="s">
        <v>43</v>
      </c>
      <c r="F46" s="59" t="s">
        <v>19</v>
      </c>
      <c r="G46" s="60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3:21" x14ac:dyDescent="0.3">
      <c r="C47" s="47"/>
      <c r="D47" s="47"/>
      <c r="E47" s="53" t="s">
        <v>44</v>
      </c>
      <c r="F47" s="61" t="s">
        <v>33</v>
      </c>
      <c r="G47" s="62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3:21" ht="15" thickBot="1" x14ac:dyDescent="0.35"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3:21" ht="15" thickBot="1" x14ac:dyDescent="0.35">
      <c r="C49" s="95" t="s">
        <v>46</v>
      </c>
      <c r="D49" s="63"/>
      <c r="E49" s="63"/>
      <c r="F49" s="63"/>
      <c r="G49" s="63"/>
      <c r="H49" s="63"/>
      <c r="I49" s="63"/>
      <c r="J49" s="63"/>
      <c r="K49" s="63"/>
      <c r="L49" s="64"/>
      <c r="M49" s="47"/>
      <c r="N49" s="47"/>
      <c r="O49" s="47"/>
      <c r="P49" s="47"/>
      <c r="Q49" s="47"/>
      <c r="R49" s="47"/>
      <c r="S49" s="47"/>
      <c r="T49" s="47"/>
      <c r="U49" s="47"/>
    </row>
    <row r="50" spans="3:21" x14ac:dyDescent="0.3">
      <c r="C50" s="65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</row>
    <row r="51" spans="3:21" x14ac:dyDescent="0.3">
      <c r="C51" s="67"/>
      <c r="D51" s="47"/>
      <c r="E51" s="68"/>
      <c r="F51" s="68"/>
      <c r="G51" s="68"/>
      <c r="H51" s="68"/>
      <c r="I51" s="68"/>
      <c r="J51" s="69" t="s">
        <v>26</v>
      </c>
      <c r="K51" s="69" t="s">
        <v>27</v>
      </c>
      <c r="L51" s="69" t="s">
        <v>16</v>
      </c>
      <c r="M51" s="69" t="s">
        <v>15</v>
      </c>
      <c r="N51" s="69" t="s">
        <v>17</v>
      </c>
      <c r="O51" s="69" t="s">
        <v>18</v>
      </c>
      <c r="P51" s="69" t="s">
        <v>7</v>
      </c>
      <c r="Q51" s="69"/>
      <c r="R51" s="47"/>
      <c r="S51" s="47"/>
      <c r="T51" s="70" t="s">
        <v>9</v>
      </c>
      <c r="U51" s="68"/>
    </row>
    <row r="52" spans="3:21" x14ac:dyDescent="0.3">
      <c r="C52" s="67"/>
      <c r="D52" s="47"/>
      <c r="E52" s="47" t="s">
        <v>13</v>
      </c>
      <c r="F52" s="47"/>
      <c r="G52" s="47"/>
      <c r="H52" s="47"/>
      <c r="I52" s="71">
        <v>0</v>
      </c>
      <c r="J52" s="72"/>
      <c r="K52" s="73">
        <f>P52</f>
        <v>5711.9999999999982</v>
      </c>
      <c r="L52" s="74">
        <f>$I$10</f>
        <v>4120</v>
      </c>
      <c r="M52" s="75">
        <f>$F$11</f>
        <v>5.6</v>
      </c>
      <c r="N52" s="75">
        <f>$F$12</f>
        <v>3</v>
      </c>
      <c r="O52" s="74">
        <f>$I$13</f>
        <v>5000</v>
      </c>
      <c r="P52" s="74">
        <f t="shared" ref="P52:P57" si="3">L52*(M52-N52)-O52</f>
        <v>5711.9999999999982</v>
      </c>
      <c r="Q52" s="74"/>
      <c r="R52" s="47"/>
      <c r="S52" s="47"/>
      <c r="T52" s="47"/>
      <c r="U52" s="47"/>
    </row>
    <row r="53" spans="3:21" x14ac:dyDescent="0.3">
      <c r="C53" s="67"/>
      <c r="D53" s="47"/>
      <c r="E53" s="47" t="s">
        <v>16</v>
      </c>
      <c r="F53" s="47"/>
      <c r="G53" s="47"/>
      <c r="H53" s="47"/>
      <c r="I53" s="71">
        <f>K52</f>
        <v>5711.9999999999982</v>
      </c>
      <c r="J53" s="72">
        <f>ABS((T53&lt;=0)*T53)</f>
        <v>0</v>
      </c>
      <c r="K53" s="73">
        <f>(T53&gt;0)*T53</f>
        <v>988</v>
      </c>
      <c r="L53" s="119">
        <f>$J$10</f>
        <v>4500</v>
      </c>
      <c r="M53" s="75">
        <f>$F$11</f>
        <v>5.6</v>
      </c>
      <c r="N53" s="75">
        <f>$F$12</f>
        <v>3</v>
      </c>
      <c r="O53" s="74">
        <f>$I$13</f>
        <v>5000</v>
      </c>
      <c r="P53" s="74">
        <f t="shared" si="3"/>
        <v>6699.9999999999982</v>
      </c>
      <c r="Q53" s="74"/>
      <c r="R53" s="47"/>
      <c r="S53" s="47"/>
      <c r="T53" s="47">
        <f>P53-P52</f>
        <v>988</v>
      </c>
      <c r="U53" s="76">
        <f>T53/$K$52</f>
        <v>0.17296918767507008</v>
      </c>
    </row>
    <row r="54" spans="3:21" x14ac:dyDescent="0.3">
      <c r="C54" s="67"/>
      <c r="D54" s="47"/>
      <c r="E54" s="47" t="s">
        <v>15</v>
      </c>
      <c r="F54" s="47"/>
      <c r="G54" s="47"/>
      <c r="H54" s="47"/>
      <c r="I54" s="71">
        <f t="shared" ref="I54:I56" si="4">I53-J54+K53</f>
        <v>3099.9999999999991</v>
      </c>
      <c r="J54" s="72">
        <f>ABS((T54&lt;=0)*T54)</f>
        <v>3599.9999999999991</v>
      </c>
      <c r="K54" s="73">
        <f>(T54&gt;0)*T54</f>
        <v>0</v>
      </c>
      <c r="L54" s="119">
        <f>$J$10</f>
        <v>4500</v>
      </c>
      <c r="M54" s="121">
        <f>$G$11</f>
        <v>4.8</v>
      </c>
      <c r="N54" s="75">
        <f>$F$12</f>
        <v>3</v>
      </c>
      <c r="O54" s="74">
        <f>$I$13</f>
        <v>5000</v>
      </c>
      <c r="P54" s="74">
        <f t="shared" si="3"/>
        <v>3099.9999999999991</v>
      </c>
      <c r="Q54" s="74"/>
      <c r="R54" s="47"/>
      <c r="S54" s="47"/>
      <c r="T54" s="47">
        <f>P54-P53</f>
        <v>-3599.9999999999991</v>
      </c>
      <c r="U54" s="76">
        <f>T54/$K$52</f>
        <v>-0.63025210084033623</v>
      </c>
    </row>
    <row r="55" spans="3:21" x14ac:dyDescent="0.3">
      <c r="C55" s="67"/>
      <c r="D55" s="47"/>
      <c r="E55" s="47" t="s">
        <v>24</v>
      </c>
      <c r="F55" s="47"/>
      <c r="G55" s="47"/>
      <c r="H55" s="47"/>
      <c r="I55" s="71">
        <f t="shared" si="4"/>
        <v>2199.9999999999982</v>
      </c>
      <c r="J55" s="72">
        <f>ABS((T55&lt;=0)*T55)</f>
        <v>900.00000000000091</v>
      </c>
      <c r="K55" s="73">
        <f>(T55&gt;0)*T55</f>
        <v>0</v>
      </c>
      <c r="L55" s="119">
        <f>$J$10</f>
        <v>4500</v>
      </c>
      <c r="M55" s="121">
        <f>$G$11</f>
        <v>4.8</v>
      </c>
      <c r="N55" s="121">
        <f>$G$12</f>
        <v>3.2</v>
      </c>
      <c r="O55" s="74">
        <f>$I$13</f>
        <v>5000</v>
      </c>
      <c r="P55" s="74">
        <f t="shared" si="3"/>
        <v>2199.9999999999982</v>
      </c>
      <c r="Q55" s="74"/>
      <c r="R55" s="47"/>
      <c r="S55" s="47"/>
      <c r="T55" s="47">
        <f>P55-P54</f>
        <v>-900.00000000000091</v>
      </c>
      <c r="U55" s="76">
        <f>T55/$K$52</f>
        <v>-0.15756302521008425</v>
      </c>
    </row>
    <row r="56" spans="3:21" x14ac:dyDescent="0.3">
      <c r="C56" s="67"/>
      <c r="D56" s="47"/>
      <c r="E56" s="47" t="s">
        <v>25</v>
      </c>
      <c r="F56" s="47"/>
      <c r="G56" s="47"/>
      <c r="H56" s="47"/>
      <c r="I56" s="71">
        <f t="shared" si="4"/>
        <v>2199.9999999999982</v>
      </c>
      <c r="J56" s="72">
        <f>ABS((T56&lt;=0)*T56)</f>
        <v>0</v>
      </c>
      <c r="K56" s="73">
        <f>(T56&gt;0)*T56</f>
        <v>2000</v>
      </c>
      <c r="L56" s="119">
        <f>$J$10</f>
        <v>4500</v>
      </c>
      <c r="M56" s="121">
        <f>$G$11</f>
        <v>4.8</v>
      </c>
      <c r="N56" s="121">
        <f>$G$12</f>
        <v>3.2</v>
      </c>
      <c r="O56" s="119">
        <f>$J$13</f>
        <v>3000</v>
      </c>
      <c r="P56" s="74">
        <f t="shared" si="3"/>
        <v>4199.9999999999982</v>
      </c>
      <c r="Q56" s="74"/>
      <c r="R56" s="47"/>
      <c r="S56" s="47"/>
      <c r="T56" s="47">
        <f>P56-P55</f>
        <v>2000</v>
      </c>
      <c r="U56" s="76">
        <f>T56/$K$52</f>
        <v>0.35014005602240905</v>
      </c>
    </row>
    <row r="57" spans="3:21" x14ac:dyDescent="0.3">
      <c r="C57" s="67"/>
      <c r="D57" s="47"/>
      <c r="E57" s="68" t="s">
        <v>14</v>
      </c>
      <c r="F57" s="68"/>
      <c r="G57" s="68"/>
      <c r="H57" s="68"/>
      <c r="I57" s="77">
        <v>0</v>
      </c>
      <c r="J57" s="78"/>
      <c r="K57" s="79">
        <f>P57</f>
        <v>4199.9999999999982</v>
      </c>
      <c r="L57" s="120">
        <f>$J$10</f>
        <v>4500</v>
      </c>
      <c r="M57" s="122">
        <f>$G$11</f>
        <v>4.8</v>
      </c>
      <c r="N57" s="122">
        <f>$G$12</f>
        <v>3.2</v>
      </c>
      <c r="O57" s="120">
        <f>$J$13</f>
        <v>3000</v>
      </c>
      <c r="P57" s="80">
        <f t="shared" si="3"/>
        <v>4199.9999999999982</v>
      </c>
      <c r="Q57" s="80"/>
      <c r="R57" s="47"/>
      <c r="S57" s="47"/>
      <c r="T57" s="68">
        <f>P57-P56</f>
        <v>0</v>
      </c>
      <c r="U57" s="81">
        <f>P57/$K$52</f>
        <v>0.73529411764705876</v>
      </c>
    </row>
    <row r="58" spans="3:21" x14ac:dyDescent="0.3">
      <c r="C58" s="6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3:21" x14ac:dyDescent="0.3">
      <c r="C59" s="67"/>
      <c r="D59" s="47"/>
      <c r="E59" s="47"/>
      <c r="F59" s="47"/>
      <c r="G59" s="47"/>
      <c r="H59" s="47"/>
      <c r="I59" s="82" t="s">
        <v>30</v>
      </c>
      <c r="J59" s="82">
        <v>0</v>
      </c>
      <c r="K59" s="82">
        <v>1</v>
      </c>
      <c r="L59" s="82" t="s">
        <v>29</v>
      </c>
      <c r="M59" s="47"/>
      <c r="N59" s="47"/>
      <c r="O59" s="47"/>
      <c r="P59" s="47"/>
      <c r="Q59" s="47"/>
      <c r="R59" s="47"/>
      <c r="S59" s="47"/>
      <c r="T59" s="47"/>
      <c r="U59" s="47"/>
    </row>
    <row r="60" spans="3:21" x14ac:dyDescent="0.3">
      <c r="C60" s="67"/>
      <c r="D60" s="47" t="s">
        <v>31</v>
      </c>
      <c r="E60" s="47" t="str">
        <f>CONCATENATE(E52,CHAR(13),TEXT(1,"0%"))</f>
        <v>плановая прибыль_x000D_100%</v>
      </c>
      <c r="F60" s="47"/>
      <c r="G60" s="47"/>
      <c r="H60" s="47"/>
      <c r="I60" s="83">
        <f>P52</f>
        <v>5711.9999999999982</v>
      </c>
      <c r="J60" s="83" t="e">
        <f>NA()</f>
        <v>#N/A</v>
      </c>
      <c r="K60" s="83" t="e">
        <f>NA()</f>
        <v>#N/A</v>
      </c>
      <c r="L60" s="83" t="e">
        <f>NA()</f>
        <v>#N/A</v>
      </c>
      <c r="M60" s="47"/>
      <c r="N60" s="84" t="s">
        <v>34</v>
      </c>
      <c r="O60" s="85">
        <f>J13/(G11-G12)*G11</f>
        <v>9000.0000000000018</v>
      </c>
      <c r="P60" s="86">
        <f>J11</f>
        <v>21600</v>
      </c>
      <c r="Q60" s="47" t="s">
        <v>2</v>
      </c>
      <c r="R60" s="47"/>
      <c r="S60" s="47"/>
      <c r="T60" s="47"/>
      <c r="U60" s="47" t="str">
        <f>"факт"&amp;CHAR(13)&amp;TEXT(P60,"# ##0")</f>
        <v>факт_x000D_21 600</v>
      </c>
    </row>
    <row r="61" spans="3:21" x14ac:dyDescent="0.3">
      <c r="C61" s="67"/>
      <c r="D61" s="47" t="s">
        <v>32</v>
      </c>
      <c r="E61" s="47" t="str">
        <f>CONCATENATE(E53,CHAR(13),TEXT(T53,"+# ##0;-# ##0"),CHAR(13),TEXT(U53,"↑0%;↓0%"))</f>
        <v>объем_x000D_+988_x000D_↑17%</v>
      </c>
      <c r="F61" s="47"/>
      <c r="G61" s="47"/>
      <c r="H61" s="47"/>
      <c r="I61" s="83" t="e">
        <f>NA()</f>
        <v>#N/A</v>
      </c>
      <c r="J61" s="83">
        <f>I60</f>
        <v>5711.9999999999982</v>
      </c>
      <c r="K61" s="83">
        <f>J61+T53</f>
        <v>6699.9999999999982</v>
      </c>
      <c r="L61" s="87">
        <v>1</v>
      </c>
      <c r="M61" s="47"/>
      <c r="N61" s="84" t="s">
        <v>35</v>
      </c>
      <c r="O61" s="85">
        <f>O65-O60-O62</f>
        <v>14071.999999999998</v>
      </c>
      <c r="P61" s="88">
        <v>0</v>
      </c>
      <c r="Q61" s="47" t="s">
        <v>39</v>
      </c>
      <c r="R61" s="47"/>
      <c r="S61" s="47"/>
      <c r="T61" s="47"/>
      <c r="U61" s="47"/>
    </row>
    <row r="62" spans="3:21" x14ac:dyDescent="0.3">
      <c r="C62" s="67"/>
      <c r="D62" s="47"/>
      <c r="E62" s="47" t="str">
        <f>CONCATENATE(E54,CHAR(13),TEXT(T54,"+# ##0;-# ##0"),CHAR(13),TEXT(U54,"↑0%;↓0%"))</f>
        <v>цена_x000D_-3 600_x000D_↓63%</v>
      </c>
      <c r="F62" s="47"/>
      <c r="G62" s="47"/>
      <c r="H62" s="47"/>
      <c r="I62" s="83" t="e">
        <f>NA()</f>
        <v>#N/A</v>
      </c>
      <c r="J62" s="83">
        <f>K61</f>
        <v>6699.9999999999982</v>
      </c>
      <c r="K62" s="83">
        <f>J62+T54</f>
        <v>3099.9999999999991</v>
      </c>
      <c r="L62" s="87">
        <v>1</v>
      </c>
      <c r="M62" s="47"/>
      <c r="N62" s="84" t="s">
        <v>36</v>
      </c>
      <c r="O62" s="85">
        <f>IF(J14&gt;=0,O65-I11,0)</f>
        <v>928</v>
      </c>
      <c r="P62" s="85">
        <f>O63*2-P60-P61</f>
        <v>26400</v>
      </c>
      <c r="Q62" s="47" t="s">
        <v>40</v>
      </c>
      <c r="R62" s="47"/>
      <c r="S62" s="47"/>
      <c r="T62" s="47"/>
      <c r="U62" s="47"/>
    </row>
    <row r="63" spans="3:21" x14ac:dyDescent="0.3">
      <c r="C63" s="67"/>
      <c r="D63" s="47"/>
      <c r="E63" s="47" t="str">
        <f>CONCATENATE(E55,CHAR(13),TEXT(T55,"+# ##0;-# ##0"),CHAR(13),TEXT(U55,"↑0%;↓0%"))</f>
        <v>перем расх_x000D_-900_x000D_↓16%</v>
      </c>
      <c r="F63" s="47"/>
      <c r="G63" s="47"/>
      <c r="H63" s="47"/>
      <c r="I63" s="83" t="e">
        <f>NA()</f>
        <v>#N/A</v>
      </c>
      <c r="J63" s="83">
        <f t="shared" ref="J63:J64" si="5">K62</f>
        <v>3099.9999999999991</v>
      </c>
      <c r="K63" s="83">
        <f>J63+T55</f>
        <v>2199.9999999999982</v>
      </c>
      <c r="L63" s="87">
        <v>1</v>
      </c>
      <c r="M63" s="47"/>
      <c r="N63" s="84" t="s">
        <v>37</v>
      </c>
      <c r="O63" s="85">
        <f>O65</f>
        <v>24000</v>
      </c>
      <c r="P63" s="88"/>
      <c r="Q63" s="47"/>
      <c r="R63" s="47"/>
      <c r="S63" s="47"/>
      <c r="T63" s="47"/>
      <c r="U63" s="47"/>
    </row>
    <row r="64" spans="3:21" x14ac:dyDescent="0.3">
      <c r="C64" s="67"/>
      <c r="D64" s="47"/>
      <c r="E64" s="47" t="str">
        <f>CONCATENATE(E56,CHAR(13),TEXT(T56,"+# ##0;-# ##0"),CHAR(13),TEXT(U56,"↑0%;↓0%"))</f>
        <v>пост расх_x000D_+2 000_x000D_↑35%</v>
      </c>
      <c r="F64" s="47"/>
      <c r="G64" s="47"/>
      <c r="H64" s="47"/>
      <c r="I64" s="83" t="e">
        <f>NA()</f>
        <v>#N/A</v>
      </c>
      <c r="J64" s="83">
        <f t="shared" si="5"/>
        <v>2199.9999999999982</v>
      </c>
      <c r="K64" s="83">
        <f>J64+T56</f>
        <v>4199.9999999999982</v>
      </c>
      <c r="L64" s="87">
        <v>1</v>
      </c>
      <c r="M64" s="47"/>
      <c r="N64" s="47"/>
      <c r="O64" s="47"/>
      <c r="P64" s="47"/>
      <c r="Q64" s="47"/>
      <c r="R64" s="47"/>
      <c r="S64" s="47"/>
      <c r="T64" s="47"/>
      <c r="U64" s="47"/>
    </row>
    <row r="65" spans="3:21" x14ac:dyDescent="0.3">
      <c r="C65" s="67"/>
      <c r="D65" s="47" t="s">
        <v>31</v>
      </c>
      <c r="E65" s="68" t="str">
        <f>CONCATENATE(E57,CHAR(13),TEXT(U57,"0%"))</f>
        <v>фактическая прибыль_x000D_74%</v>
      </c>
      <c r="F65" s="68"/>
      <c r="G65" s="68"/>
      <c r="H65" s="68"/>
      <c r="I65" s="89">
        <f>P57</f>
        <v>4199.9999999999982</v>
      </c>
      <c r="J65" s="89" t="e">
        <f>NA()</f>
        <v>#N/A</v>
      </c>
      <c r="K65" s="89" t="e">
        <f>NA()</f>
        <v>#N/A</v>
      </c>
      <c r="L65" s="89" t="e">
        <f>NA()</f>
        <v>#N/A</v>
      </c>
      <c r="M65" s="47"/>
      <c r="N65" s="90" t="s">
        <v>38</v>
      </c>
      <c r="O65" s="91">
        <f>ROUNDUP(MAX(O60,I11,J11)/VALUE(1&amp;REPT(0,LEN(ROUND(MAX(O60,I11,J11),0))-1)),1)*VALUE(1&amp;REPT(0,LEN(ROUND(MAX(O60,I11,J11),0))-1))</f>
        <v>24000</v>
      </c>
      <c r="P65" s="91">
        <f>O65/2</f>
        <v>12000</v>
      </c>
      <c r="Q65" s="47"/>
      <c r="R65" s="47"/>
      <c r="S65" s="47"/>
      <c r="T65" s="47"/>
      <c r="U65" s="47"/>
    </row>
    <row r="66" spans="3:21" x14ac:dyDescent="0.3">
      <c r="C66" s="6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3:21" ht="15" thickBot="1" x14ac:dyDescent="0.35">
      <c r="C67" s="92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</row>
  </sheetData>
  <mergeCells count="3">
    <mergeCell ref="F8:G8"/>
    <mergeCell ref="I8:J8"/>
    <mergeCell ref="N8:P8"/>
  </mergeCells>
  <pageMargins left="0.7" right="0.7" top="0.75" bottom="0.75" header="0.3" footer="0.3"/>
  <pageSetup paperSize="9" orientation="portrait" horizontalDpi="180" verticalDpi="18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030ED14-7EE4-41B9-9502-21846AE284D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4RedToBlack" iconId="3"/>
              <x14:cfIcon iconSet="4TrafficLights" iconId="0"/>
              <x14:cfIcon iconSet="4RedToBlack" iconId="1"/>
            </x14:iconSet>
          </x14:cfRule>
          <xm:sqref>P10:P11 P14</xm:sqref>
        </x14:conditionalFormatting>
        <x14:conditionalFormatting xmlns:xm="http://schemas.microsoft.com/office/excel/2006/main">
          <x14:cfRule type="iconSet" priority="1" id="{44DB75B4-98D5-498C-B27F-75A25A5E285D}">
            <x14:iconSet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4RedToBlack" iconId="1"/>
              <x14:cfIcon iconSet="4TrafficLights" iconId="0"/>
              <x14:cfIcon iconSet="4RedToBlack" iconId="2"/>
            </x14:iconSet>
          </x14:cfRule>
          <xm:sqref>P12:P13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9AD00-6595-43E9-9A41-01B054A9B7A9}">
  <sheetPr>
    <tabColor theme="7" tint="0.79998168889431442"/>
  </sheetPr>
  <dimension ref="B2:C9"/>
  <sheetViews>
    <sheetView showGridLines="0" zoomScale="115" zoomScaleNormal="115" workbookViewId="0">
      <selection activeCell="C1" sqref="C1"/>
    </sheetView>
  </sheetViews>
  <sheetFormatPr defaultRowHeight="14.4" x14ac:dyDescent="0.3"/>
  <cols>
    <col min="2" max="2" width="5.109375" customWidth="1"/>
    <col min="3" max="3" width="50" customWidth="1"/>
  </cols>
  <sheetData>
    <row r="2" spans="2:3" ht="55.95" customHeight="1" x14ac:dyDescent="0.3"/>
    <row r="3" spans="2:3" ht="35.4" customHeight="1" x14ac:dyDescent="0.3">
      <c r="B3" s="97" t="s">
        <v>47</v>
      </c>
      <c r="C3" s="98"/>
    </row>
    <row r="4" spans="2:3" s="96" customFormat="1" ht="22.95" customHeight="1" x14ac:dyDescent="0.3">
      <c r="B4" s="99"/>
      <c r="C4" s="100" t="s">
        <v>48</v>
      </c>
    </row>
    <row r="5" spans="2:3" s="96" customFormat="1" ht="22.95" customHeight="1" x14ac:dyDescent="0.3">
      <c r="B5" s="99"/>
      <c r="C5" s="100" t="s">
        <v>49</v>
      </c>
    </row>
    <row r="6" spans="2:3" s="96" customFormat="1" ht="22.95" customHeight="1" x14ac:dyDescent="0.3">
      <c r="B6" s="99"/>
      <c r="C6" s="100" t="s">
        <v>50</v>
      </c>
    </row>
    <row r="7" spans="2:3" s="96" customFormat="1" ht="22.95" customHeight="1" x14ac:dyDescent="0.3">
      <c r="B7" s="99"/>
      <c r="C7" s="100" t="s">
        <v>51</v>
      </c>
    </row>
    <row r="8" spans="2:3" s="96" customFormat="1" ht="22.95" customHeight="1" x14ac:dyDescent="0.3">
      <c r="B8" s="99"/>
      <c r="C8" s="100" t="s">
        <v>52</v>
      </c>
    </row>
    <row r="9" spans="2:3" x14ac:dyDescent="0.3">
      <c r="B9" s="98"/>
      <c r="C9" s="98"/>
    </row>
  </sheetData>
  <hyperlinks>
    <hyperlink ref="C4" r:id="rId1" display="https://finalytics.pro/inform/" xr:uid="{1A3FE959-80F3-4C07-A99D-04548807D973}"/>
    <hyperlink ref="C5" r:id="rId2" display="https://www.youtube.com/salosteysv" xr:uid="{6D82503F-8EB1-4477-98DC-7C7279A6DA83}"/>
    <hyperlink ref="C6" r:id="rId3" display="https://vk.com/finalytics" xr:uid="{77FD4ED9-85B4-4DFF-A39F-8E9E6BEA4217}"/>
    <hyperlink ref="C8" r:id="rId4" display="https://finalytics.pro/pbimail/" xr:uid="{2FC821EA-29C4-4449-B25C-C84759276676}"/>
    <hyperlink ref="C7" r:id="rId5" display="https://t.me/finalyticspro" xr:uid="{FD864D55-773A-40AE-B0B4-03384EAF5062}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=) Finalytics.pro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2023-03-01T17:40:37Z</dcterms:modified>
</cp:coreProperties>
</file>